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BB4E\"/>
    </mc:Choice>
  </mc:AlternateContent>
  <xr:revisionPtr revIDLastSave="0" documentId="13_ncr:1_{CDD8B887-D836-40C4-9962-4F65C497269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Методология BB4mE" sheetId="8" r:id="rId1"/>
    <sheet name="Основной сценарий (2)" sheetId="9" r:id="rId2"/>
    <sheet name="Основной сценарий" sheetId="7" r:id="rId3"/>
    <sheet name="в01" sheetId="1" r:id="rId4"/>
    <sheet name="в02" sheetId="3" r:id="rId5"/>
    <sheet name="в03" sheetId="5" r:id="rId6"/>
    <sheet name="в04" sheetId="6" r:id="rId7"/>
    <sheet name="Равновесие" sheetId="4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F6" i="9"/>
  <c r="F5" i="9" s="1"/>
  <c r="H6" i="9"/>
  <c r="I6" i="9"/>
  <c r="K6" i="9"/>
  <c r="G7" i="9"/>
  <c r="J7" i="9"/>
  <c r="K7" i="9"/>
  <c r="L7" i="9"/>
  <c r="M7" i="9"/>
  <c r="N7" i="9"/>
  <c r="O7" i="9"/>
  <c r="T7" i="9"/>
  <c r="U7" i="9"/>
  <c r="J8" i="9"/>
  <c r="K8" i="9"/>
  <c r="L8" i="9"/>
  <c r="M8" i="9"/>
  <c r="N8" i="9"/>
  <c r="O8" i="9"/>
  <c r="T8" i="9"/>
  <c r="U8" i="9"/>
  <c r="V8" i="9"/>
  <c r="G9" i="9"/>
  <c r="J9" i="9"/>
  <c r="K9" i="9"/>
  <c r="L9" i="9"/>
  <c r="O9" i="9"/>
  <c r="G10" i="9"/>
  <c r="J10" i="9"/>
  <c r="K10" i="9"/>
  <c r="L10" i="9"/>
  <c r="M10" i="9"/>
  <c r="N10" i="9"/>
  <c r="O10" i="9"/>
  <c r="T10" i="9"/>
  <c r="U10" i="9"/>
  <c r="V10" i="9"/>
  <c r="G11" i="9"/>
  <c r="J11" i="9"/>
  <c r="K11" i="9"/>
  <c r="L11" i="9"/>
  <c r="M11" i="9"/>
  <c r="N11" i="9"/>
  <c r="O11" i="9"/>
  <c r="T11" i="9"/>
  <c r="U11" i="9"/>
  <c r="V11" i="9" s="1"/>
  <c r="K12" i="9"/>
  <c r="L12" i="9"/>
  <c r="M12" i="9"/>
  <c r="T12" i="9"/>
  <c r="U12" i="9"/>
  <c r="V12" i="9" s="1"/>
  <c r="E13" i="9"/>
  <c r="G13" i="9" s="1"/>
  <c r="F13" i="9"/>
  <c r="H13" i="9"/>
  <c r="I13" i="9"/>
  <c r="K13" i="9"/>
  <c r="G14" i="9"/>
  <c r="J14" i="9"/>
  <c r="K14" i="9"/>
  <c r="L14" i="9"/>
  <c r="M14" i="9"/>
  <c r="N14" i="9"/>
  <c r="O14" i="9"/>
  <c r="T14" i="9"/>
  <c r="T13" i="9" s="1"/>
  <c r="U14" i="9"/>
  <c r="U13" i="9" s="1"/>
  <c r="V13" i="9" s="1"/>
  <c r="V14" i="9"/>
  <c r="G15" i="9"/>
  <c r="J15" i="9"/>
  <c r="K15" i="9"/>
  <c r="L15" i="9"/>
  <c r="M15" i="9"/>
  <c r="N15" i="9"/>
  <c r="O15" i="9"/>
  <c r="T15" i="9"/>
  <c r="U15" i="9"/>
  <c r="V15" i="9"/>
  <c r="K16" i="9"/>
  <c r="L16" i="9"/>
  <c r="M16" i="9"/>
  <c r="T16" i="9"/>
  <c r="U16" i="9"/>
  <c r="V16" i="9"/>
  <c r="E17" i="9"/>
  <c r="G17" i="9" s="1"/>
  <c r="F17" i="9"/>
  <c r="H17" i="9"/>
  <c r="J17" i="9" s="1"/>
  <c r="M17" i="9" s="1"/>
  <c r="I17" i="9"/>
  <c r="K17" i="9"/>
  <c r="G18" i="9"/>
  <c r="J18" i="9"/>
  <c r="K18" i="9"/>
  <c r="L18" i="9"/>
  <c r="M18" i="9"/>
  <c r="N18" i="9"/>
  <c r="O18" i="9"/>
  <c r="T18" i="9"/>
  <c r="T17" i="9" s="1"/>
  <c r="U18" i="9"/>
  <c r="V18" i="9"/>
  <c r="K19" i="9"/>
  <c r="L19" i="9"/>
  <c r="M19" i="9"/>
  <c r="T19" i="9"/>
  <c r="L20" i="9"/>
  <c r="M20" i="9"/>
  <c r="N20" i="9"/>
  <c r="M21" i="9"/>
  <c r="E24" i="9"/>
  <c r="C25" i="9"/>
  <c r="E25" i="9"/>
  <c r="C26" i="9"/>
  <c r="E27" i="3"/>
  <c r="E26" i="3"/>
  <c r="E25" i="3"/>
  <c r="E24" i="3"/>
  <c r="E23" i="3"/>
  <c r="E27" i="5"/>
  <c r="E26" i="5"/>
  <c r="E25" i="5"/>
  <c r="E24" i="5"/>
  <c r="E23" i="5"/>
  <c r="E27" i="6"/>
  <c r="E26" i="6"/>
  <c r="E25" i="6"/>
  <c r="E24" i="6"/>
  <c r="E23" i="6"/>
  <c r="E27" i="4"/>
  <c r="E26" i="4"/>
  <c r="E25" i="4"/>
  <c r="E24" i="4"/>
  <c r="E23" i="4"/>
  <c r="E27" i="1"/>
  <c r="E26" i="1"/>
  <c r="E25" i="1"/>
  <c r="E24" i="1"/>
  <c r="E23" i="1"/>
  <c r="O20" i="3"/>
  <c r="O18" i="3"/>
  <c r="O15" i="3"/>
  <c r="O14" i="3"/>
  <c r="O11" i="3"/>
  <c r="O10" i="3"/>
  <c r="O9" i="3"/>
  <c r="O8" i="3"/>
  <c r="O7" i="3"/>
  <c r="O20" i="5"/>
  <c r="O18" i="5"/>
  <c r="O15" i="5"/>
  <c r="O14" i="5"/>
  <c r="O11" i="5"/>
  <c r="O10" i="5"/>
  <c r="O9" i="5"/>
  <c r="O8" i="5"/>
  <c r="O7" i="5"/>
  <c r="O20" i="6"/>
  <c r="O18" i="6"/>
  <c r="O15" i="6"/>
  <c r="O14" i="6"/>
  <c r="O11" i="6"/>
  <c r="O10" i="6"/>
  <c r="O9" i="6"/>
  <c r="O8" i="6"/>
  <c r="O7" i="6"/>
  <c r="O20" i="4"/>
  <c r="O18" i="4"/>
  <c r="O15" i="4"/>
  <c r="O14" i="4"/>
  <c r="O11" i="4"/>
  <c r="O10" i="4"/>
  <c r="O9" i="4"/>
  <c r="O8" i="4"/>
  <c r="O7" i="4"/>
  <c r="O20" i="1"/>
  <c r="O18" i="1"/>
  <c r="O15" i="1"/>
  <c r="O14" i="1"/>
  <c r="O11" i="1"/>
  <c r="O10" i="1"/>
  <c r="O9" i="1"/>
  <c r="O8" i="1"/>
  <c r="O7" i="1"/>
  <c r="J11" i="7"/>
  <c r="M21" i="7"/>
  <c r="N20" i="7"/>
  <c r="O20" i="7" s="1"/>
  <c r="M20" i="7"/>
  <c r="L20" i="7"/>
  <c r="M19" i="7"/>
  <c r="T19" i="7" s="1"/>
  <c r="L19" i="7"/>
  <c r="K19" i="7"/>
  <c r="L18" i="7"/>
  <c r="K18" i="7"/>
  <c r="J18" i="7"/>
  <c r="G18" i="7"/>
  <c r="N18" i="7" s="1"/>
  <c r="I17" i="7"/>
  <c r="H17" i="7"/>
  <c r="F17" i="7"/>
  <c r="E17" i="7"/>
  <c r="M16" i="7"/>
  <c r="L16" i="7"/>
  <c r="K16" i="7"/>
  <c r="L15" i="7"/>
  <c r="K15" i="7"/>
  <c r="J15" i="7"/>
  <c r="G15" i="7"/>
  <c r="N15" i="7" s="1"/>
  <c r="O15" i="7" s="1"/>
  <c r="L14" i="7"/>
  <c r="K14" i="7"/>
  <c r="J14" i="7"/>
  <c r="G14" i="7"/>
  <c r="N14" i="7" s="1"/>
  <c r="O14" i="7" s="1"/>
  <c r="I13" i="7"/>
  <c r="H13" i="7"/>
  <c r="F13" i="7"/>
  <c r="E13" i="7"/>
  <c r="M12" i="7"/>
  <c r="L12" i="7"/>
  <c r="K12" i="7"/>
  <c r="L11" i="7"/>
  <c r="K11" i="7"/>
  <c r="G11" i="7"/>
  <c r="L10" i="7"/>
  <c r="K10" i="7"/>
  <c r="J10" i="7"/>
  <c r="G10" i="7"/>
  <c r="N10" i="7" s="1"/>
  <c r="O10" i="7" s="1"/>
  <c r="L9" i="7"/>
  <c r="K9" i="7"/>
  <c r="J9" i="7"/>
  <c r="G9" i="7"/>
  <c r="N9" i="7" s="1"/>
  <c r="O9" i="7" s="1"/>
  <c r="L8" i="7"/>
  <c r="K8" i="7"/>
  <c r="J8" i="7"/>
  <c r="M8" i="7" s="1"/>
  <c r="N8" i="7"/>
  <c r="O8" i="7" s="1"/>
  <c r="L7" i="7"/>
  <c r="K7" i="7"/>
  <c r="J7" i="7"/>
  <c r="G7" i="7"/>
  <c r="N7" i="7" s="1"/>
  <c r="O7" i="7" s="1"/>
  <c r="I6" i="7"/>
  <c r="H6" i="7"/>
  <c r="F6" i="7"/>
  <c r="E6" i="7"/>
  <c r="J7" i="6"/>
  <c r="J7" i="5"/>
  <c r="J7" i="4"/>
  <c r="J7" i="1"/>
  <c r="J7" i="3"/>
  <c r="J9" i="5"/>
  <c r="J9" i="3"/>
  <c r="J9" i="1"/>
  <c r="J9" i="4"/>
  <c r="M21" i="6"/>
  <c r="N20" i="6"/>
  <c r="M20" i="6"/>
  <c r="L20" i="6"/>
  <c r="M19" i="6"/>
  <c r="T19" i="6" s="1"/>
  <c r="L19" i="6"/>
  <c r="K19" i="6"/>
  <c r="L18" i="6"/>
  <c r="K18" i="6"/>
  <c r="J18" i="6"/>
  <c r="G18" i="6"/>
  <c r="N18" i="6" s="1"/>
  <c r="U18" i="6" s="1"/>
  <c r="I17" i="6"/>
  <c r="H17" i="6"/>
  <c r="F17" i="6"/>
  <c r="E17" i="6"/>
  <c r="M16" i="6"/>
  <c r="L16" i="6"/>
  <c r="K16" i="6"/>
  <c r="L15" i="6"/>
  <c r="K15" i="6"/>
  <c r="J15" i="6"/>
  <c r="G15" i="6"/>
  <c r="N15" i="6" s="1"/>
  <c r="L14" i="6"/>
  <c r="K14" i="6"/>
  <c r="J14" i="6"/>
  <c r="G14" i="6"/>
  <c r="N14" i="6" s="1"/>
  <c r="I13" i="6"/>
  <c r="H13" i="6"/>
  <c r="F13" i="6"/>
  <c r="E13" i="6"/>
  <c r="M12" i="6"/>
  <c r="L12" i="6"/>
  <c r="K12" i="6"/>
  <c r="L11" i="6"/>
  <c r="K11" i="6"/>
  <c r="J11" i="6"/>
  <c r="G11" i="6"/>
  <c r="N11" i="6" s="1"/>
  <c r="L10" i="6"/>
  <c r="K10" i="6"/>
  <c r="J10" i="6"/>
  <c r="G10" i="6"/>
  <c r="N10" i="6" s="1"/>
  <c r="L9" i="6"/>
  <c r="K9" i="6"/>
  <c r="G9" i="6"/>
  <c r="L8" i="6"/>
  <c r="K8" i="6"/>
  <c r="J8" i="6"/>
  <c r="G8" i="6"/>
  <c r="N8" i="6" s="1"/>
  <c r="L7" i="6"/>
  <c r="K7" i="6"/>
  <c r="G7" i="6"/>
  <c r="N7" i="6" s="1"/>
  <c r="I6" i="6"/>
  <c r="H6" i="6"/>
  <c r="F6" i="6"/>
  <c r="E6" i="6"/>
  <c r="M21" i="5"/>
  <c r="N20" i="5"/>
  <c r="M20" i="5"/>
  <c r="L20" i="5"/>
  <c r="M19" i="5"/>
  <c r="T19" i="5" s="1"/>
  <c r="L19" i="5"/>
  <c r="K19" i="5"/>
  <c r="L18" i="5"/>
  <c r="K18" i="5"/>
  <c r="J18" i="5"/>
  <c r="G18" i="5"/>
  <c r="N18" i="5" s="1"/>
  <c r="U18" i="5" s="1"/>
  <c r="I17" i="5"/>
  <c r="H17" i="5"/>
  <c r="F17" i="5"/>
  <c r="E17" i="5"/>
  <c r="M16" i="5"/>
  <c r="L16" i="5"/>
  <c r="K16" i="5"/>
  <c r="L15" i="5"/>
  <c r="K15" i="5"/>
  <c r="J15" i="5"/>
  <c r="G15" i="5"/>
  <c r="N15" i="5" s="1"/>
  <c r="L14" i="5"/>
  <c r="K14" i="5"/>
  <c r="J14" i="5"/>
  <c r="G14" i="5"/>
  <c r="N14" i="5" s="1"/>
  <c r="I13" i="5"/>
  <c r="H13" i="5"/>
  <c r="F13" i="5"/>
  <c r="E13" i="5"/>
  <c r="M12" i="5"/>
  <c r="L12" i="5"/>
  <c r="K12" i="5"/>
  <c r="L11" i="5"/>
  <c r="K11" i="5"/>
  <c r="J11" i="5"/>
  <c r="G11" i="5"/>
  <c r="N11" i="5" s="1"/>
  <c r="L10" i="5"/>
  <c r="K10" i="5"/>
  <c r="J10" i="5"/>
  <c r="G10" i="5"/>
  <c r="N10" i="5" s="1"/>
  <c r="L9" i="5"/>
  <c r="K9" i="5"/>
  <c r="G9" i="5"/>
  <c r="N9" i="5" s="1"/>
  <c r="L8" i="5"/>
  <c r="K8" i="5"/>
  <c r="J8" i="5"/>
  <c r="G8" i="5"/>
  <c r="N8" i="5" s="1"/>
  <c r="L7" i="5"/>
  <c r="K7" i="5"/>
  <c r="G7" i="5"/>
  <c r="N7" i="5" s="1"/>
  <c r="I6" i="5"/>
  <c r="H6" i="5"/>
  <c r="F6" i="5"/>
  <c r="E6" i="5"/>
  <c r="G15" i="4"/>
  <c r="N15" i="4" s="1"/>
  <c r="G14" i="4"/>
  <c r="N14" i="4" s="1"/>
  <c r="M21" i="4"/>
  <c r="N20" i="4"/>
  <c r="M20" i="4"/>
  <c r="L20" i="4"/>
  <c r="M19" i="4"/>
  <c r="T19" i="4" s="1"/>
  <c r="L19" i="4"/>
  <c r="K19" i="4"/>
  <c r="L18" i="4"/>
  <c r="K18" i="4"/>
  <c r="J18" i="4"/>
  <c r="G18" i="4"/>
  <c r="N18" i="4" s="1"/>
  <c r="U18" i="4" s="1"/>
  <c r="I17" i="4"/>
  <c r="H17" i="4"/>
  <c r="F17" i="4"/>
  <c r="E17" i="4"/>
  <c r="M16" i="4"/>
  <c r="L16" i="4"/>
  <c r="K16" i="4"/>
  <c r="L15" i="4"/>
  <c r="K15" i="4"/>
  <c r="J15" i="4"/>
  <c r="L14" i="4"/>
  <c r="K14" i="4"/>
  <c r="J14" i="4"/>
  <c r="I13" i="4"/>
  <c r="H13" i="4"/>
  <c r="F13" i="4"/>
  <c r="E13" i="4"/>
  <c r="M12" i="4"/>
  <c r="L12" i="4"/>
  <c r="K12" i="4"/>
  <c r="L11" i="4"/>
  <c r="K11" i="4"/>
  <c r="J11" i="4"/>
  <c r="G11" i="4"/>
  <c r="N11" i="4" s="1"/>
  <c r="L10" i="4"/>
  <c r="K10" i="4"/>
  <c r="J10" i="4"/>
  <c r="G10" i="4"/>
  <c r="N10" i="4" s="1"/>
  <c r="L9" i="4"/>
  <c r="K9" i="4"/>
  <c r="G9" i="4"/>
  <c r="N9" i="4" s="1"/>
  <c r="L8" i="4"/>
  <c r="K8" i="4"/>
  <c r="J8" i="4"/>
  <c r="G8" i="4"/>
  <c r="N8" i="4" s="1"/>
  <c r="L7" i="4"/>
  <c r="K7" i="4"/>
  <c r="G7" i="4"/>
  <c r="N7" i="4" s="1"/>
  <c r="I6" i="4"/>
  <c r="H6" i="4"/>
  <c r="F6" i="4"/>
  <c r="E6" i="4"/>
  <c r="M21" i="3"/>
  <c r="N20" i="3"/>
  <c r="M20" i="3"/>
  <c r="L20" i="3"/>
  <c r="M19" i="3"/>
  <c r="T19" i="3" s="1"/>
  <c r="L19" i="3"/>
  <c r="K19" i="3"/>
  <c r="L18" i="3"/>
  <c r="K18" i="3"/>
  <c r="J18" i="3"/>
  <c r="G18" i="3"/>
  <c r="N18" i="3" s="1"/>
  <c r="U18" i="3" s="1"/>
  <c r="I17" i="3"/>
  <c r="H17" i="3"/>
  <c r="F17" i="3"/>
  <c r="E17" i="3"/>
  <c r="M16" i="3"/>
  <c r="L16" i="3"/>
  <c r="K16" i="3"/>
  <c r="L15" i="3"/>
  <c r="K15" i="3"/>
  <c r="J15" i="3"/>
  <c r="G15" i="3"/>
  <c r="N15" i="3" s="1"/>
  <c r="L14" i="3"/>
  <c r="K14" i="3"/>
  <c r="J14" i="3"/>
  <c r="G14" i="3"/>
  <c r="N14" i="3" s="1"/>
  <c r="I13" i="3"/>
  <c r="H13" i="3"/>
  <c r="F13" i="3"/>
  <c r="E13" i="3"/>
  <c r="M12" i="3"/>
  <c r="L12" i="3"/>
  <c r="K12" i="3"/>
  <c r="L11" i="3"/>
  <c r="K11" i="3"/>
  <c r="J11" i="3"/>
  <c r="G11" i="3"/>
  <c r="N11" i="3" s="1"/>
  <c r="L10" i="3"/>
  <c r="K10" i="3"/>
  <c r="J10" i="3"/>
  <c r="G10" i="3"/>
  <c r="N10" i="3" s="1"/>
  <c r="L9" i="3"/>
  <c r="K9" i="3"/>
  <c r="G9" i="3"/>
  <c r="N9" i="3" s="1"/>
  <c r="L8" i="3"/>
  <c r="K8" i="3"/>
  <c r="J8" i="3"/>
  <c r="G8" i="3"/>
  <c r="N8" i="3" s="1"/>
  <c r="L7" i="3"/>
  <c r="K7" i="3"/>
  <c r="G7" i="3"/>
  <c r="N7" i="3" s="1"/>
  <c r="I6" i="3"/>
  <c r="H6" i="3"/>
  <c r="F6" i="3"/>
  <c r="E6" i="3"/>
  <c r="M21" i="1"/>
  <c r="M20" i="1"/>
  <c r="M19" i="1"/>
  <c r="T19" i="1" s="1"/>
  <c r="M16" i="1"/>
  <c r="M12" i="1"/>
  <c r="L20" i="1"/>
  <c r="L19" i="1"/>
  <c r="K19" i="1"/>
  <c r="L18" i="1"/>
  <c r="K18" i="1"/>
  <c r="L16" i="1"/>
  <c r="K16" i="1"/>
  <c r="L15" i="1"/>
  <c r="K15" i="1"/>
  <c r="L14" i="1"/>
  <c r="K14" i="1"/>
  <c r="L12" i="1"/>
  <c r="K12" i="1"/>
  <c r="L11" i="1"/>
  <c r="K11" i="1"/>
  <c r="L10" i="1"/>
  <c r="K10" i="1"/>
  <c r="L9" i="1"/>
  <c r="K9" i="1"/>
  <c r="L8" i="1"/>
  <c r="K8" i="1"/>
  <c r="L7" i="1"/>
  <c r="K7" i="1"/>
  <c r="G18" i="1"/>
  <c r="N18" i="1" s="1"/>
  <c r="U18" i="1" s="1"/>
  <c r="E17" i="1"/>
  <c r="F17" i="1"/>
  <c r="N20" i="1"/>
  <c r="J11" i="1"/>
  <c r="G15" i="1"/>
  <c r="N15" i="1" s="1"/>
  <c r="H17" i="1"/>
  <c r="K17" i="1" s="1"/>
  <c r="H13" i="1"/>
  <c r="H6" i="1"/>
  <c r="E13" i="1"/>
  <c r="E6" i="1"/>
  <c r="I17" i="1"/>
  <c r="F13" i="1"/>
  <c r="F6" i="1"/>
  <c r="J18" i="1"/>
  <c r="M18" i="1" s="1"/>
  <c r="T18" i="1" s="1"/>
  <c r="T17" i="1" s="1"/>
  <c r="J14" i="1"/>
  <c r="G14" i="1"/>
  <c r="N14" i="1" s="1"/>
  <c r="J10" i="1"/>
  <c r="G8" i="1"/>
  <c r="N8" i="1" s="1"/>
  <c r="G9" i="1"/>
  <c r="N9" i="1" s="1"/>
  <c r="G10" i="1"/>
  <c r="N10" i="1" s="1"/>
  <c r="G11" i="1"/>
  <c r="G7" i="1"/>
  <c r="N7" i="1" s="1"/>
  <c r="G6" i="9" l="1"/>
  <c r="T9" i="9"/>
  <c r="T6" i="9" s="1"/>
  <c r="E5" i="9"/>
  <c r="U9" i="9"/>
  <c r="V9" i="9" s="1"/>
  <c r="H5" i="9"/>
  <c r="J6" i="9"/>
  <c r="M6" i="9" s="1"/>
  <c r="I5" i="9"/>
  <c r="L6" i="9"/>
  <c r="N6" i="9"/>
  <c r="N12" i="9" s="1"/>
  <c r="U6" i="9"/>
  <c r="V6" i="9" s="1"/>
  <c r="V7" i="9"/>
  <c r="M9" i="9"/>
  <c r="N9" i="9"/>
  <c r="L13" i="9"/>
  <c r="J13" i="9"/>
  <c r="M13" i="9" s="1"/>
  <c r="N13" i="9"/>
  <c r="N16" i="9" s="1"/>
  <c r="N17" i="9"/>
  <c r="N19" i="9" s="1"/>
  <c r="U19" i="9" s="1"/>
  <c r="L17" i="9"/>
  <c r="U18" i="7"/>
  <c r="O18" i="7"/>
  <c r="M14" i="4"/>
  <c r="I5" i="7"/>
  <c r="E5" i="7"/>
  <c r="M14" i="6"/>
  <c r="G13" i="6"/>
  <c r="N13" i="6" s="1"/>
  <c r="N16" i="6" s="1"/>
  <c r="E5" i="6"/>
  <c r="I5" i="3"/>
  <c r="M11" i="6"/>
  <c r="M10" i="6"/>
  <c r="M8" i="6"/>
  <c r="I5" i="6"/>
  <c r="H5" i="6"/>
  <c r="F5" i="6"/>
  <c r="G5" i="6" s="1"/>
  <c r="M10" i="5"/>
  <c r="M18" i="6"/>
  <c r="T18" i="6" s="1"/>
  <c r="V18" i="6" s="1"/>
  <c r="P17" i="6"/>
  <c r="M15" i="7"/>
  <c r="M14" i="7"/>
  <c r="G17" i="6"/>
  <c r="N17" i="6" s="1"/>
  <c r="N19" i="6" s="1"/>
  <c r="U19" i="6" s="1"/>
  <c r="M18" i="7"/>
  <c r="T18" i="7" s="1"/>
  <c r="T17" i="7" s="1"/>
  <c r="G13" i="7"/>
  <c r="M10" i="7"/>
  <c r="M9" i="7"/>
  <c r="M7" i="7"/>
  <c r="M7" i="6"/>
  <c r="M15" i="6"/>
  <c r="G17" i="7"/>
  <c r="F5" i="7"/>
  <c r="N11" i="7"/>
  <c r="O11" i="7" s="1"/>
  <c r="M11" i="7"/>
  <c r="P17" i="7"/>
  <c r="G6" i="7"/>
  <c r="G5" i="7"/>
  <c r="H5" i="7"/>
  <c r="U12" i="7"/>
  <c r="U11" i="7"/>
  <c r="U10" i="7"/>
  <c r="U9" i="7"/>
  <c r="U8" i="7"/>
  <c r="U7" i="7"/>
  <c r="V18" i="7"/>
  <c r="N17" i="7"/>
  <c r="N19" i="7" s="1"/>
  <c r="U19" i="7" s="1"/>
  <c r="L17" i="7"/>
  <c r="J17" i="7"/>
  <c r="M17" i="7" s="1"/>
  <c r="K17" i="7"/>
  <c r="Q17" i="7"/>
  <c r="R17" i="7" s="1"/>
  <c r="N13" i="7"/>
  <c r="N16" i="7" s="1"/>
  <c r="L13" i="7"/>
  <c r="J13" i="7"/>
  <c r="M13" i="7" s="1"/>
  <c r="U16" i="7"/>
  <c r="Q13" i="7"/>
  <c r="U14" i="7"/>
  <c r="U15" i="7"/>
  <c r="K13" i="7"/>
  <c r="P13" i="7"/>
  <c r="T16" i="7"/>
  <c r="T14" i="7"/>
  <c r="T15" i="7"/>
  <c r="U6" i="7"/>
  <c r="J6" i="7"/>
  <c r="M6" i="7" s="1"/>
  <c r="L6" i="7"/>
  <c r="N6" i="7"/>
  <c r="N12" i="7" s="1"/>
  <c r="E27" i="7" s="1"/>
  <c r="K6" i="7"/>
  <c r="Q6" i="7"/>
  <c r="T7" i="7"/>
  <c r="T11" i="7"/>
  <c r="V11" i="7" s="1"/>
  <c r="T9" i="7"/>
  <c r="V9" i="7" s="1"/>
  <c r="T10" i="7"/>
  <c r="P6" i="7"/>
  <c r="P5" i="7" s="1"/>
  <c r="T8" i="7"/>
  <c r="T12" i="7"/>
  <c r="L5" i="7"/>
  <c r="K5" i="6"/>
  <c r="G6" i="6"/>
  <c r="N6" i="6" s="1"/>
  <c r="N9" i="6"/>
  <c r="M9" i="6"/>
  <c r="L17" i="6"/>
  <c r="J17" i="6"/>
  <c r="K17" i="6"/>
  <c r="J13" i="6"/>
  <c r="L13" i="6"/>
  <c r="U16" i="6"/>
  <c r="U15" i="6"/>
  <c r="U14" i="6"/>
  <c r="K13" i="6"/>
  <c r="T14" i="6"/>
  <c r="T16" i="6"/>
  <c r="T15" i="6"/>
  <c r="L6" i="6"/>
  <c r="J6" i="6"/>
  <c r="U12" i="6"/>
  <c r="U8" i="6"/>
  <c r="U7" i="6"/>
  <c r="K6" i="6"/>
  <c r="U9" i="6"/>
  <c r="U10" i="6"/>
  <c r="U11" i="6"/>
  <c r="T10" i="6"/>
  <c r="T11" i="6"/>
  <c r="T12" i="6"/>
  <c r="T8" i="6"/>
  <c r="T9" i="6"/>
  <c r="T7" i="6"/>
  <c r="T6" i="6" s="1"/>
  <c r="N5" i="6"/>
  <c r="L5" i="6"/>
  <c r="J5" i="6"/>
  <c r="M5" i="6" s="1"/>
  <c r="T17" i="6"/>
  <c r="F5" i="3"/>
  <c r="M18" i="5"/>
  <c r="T18" i="5" s="1"/>
  <c r="G17" i="5"/>
  <c r="N17" i="5" s="1"/>
  <c r="N19" i="5" s="1"/>
  <c r="U19" i="5" s="1"/>
  <c r="M15" i="5"/>
  <c r="M11" i="5"/>
  <c r="M9" i="5"/>
  <c r="M7" i="5"/>
  <c r="M11" i="4"/>
  <c r="M10" i="4"/>
  <c r="M9" i="4"/>
  <c r="M11" i="3"/>
  <c r="E5" i="3"/>
  <c r="V18" i="1"/>
  <c r="M8" i="4"/>
  <c r="M18" i="3"/>
  <c r="T18" i="3" s="1"/>
  <c r="M10" i="3"/>
  <c r="M9" i="3"/>
  <c r="G17" i="4"/>
  <c r="N17" i="4" s="1"/>
  <c r="N19" i="4" s="1"/>
  <c r="U19" i="4" s="1"/>
  <c r="G17" i="3"/>
  <c r="N17" i="3" s="1"/>
  <c r="N19" i="3" s="1"/>
  <c r="U19" i="3" s="1"/>
  <c r="M8" i="3"/>
  <c r="M7" i="3"/>
  <c r="M14" i="5"/>
  <c r="G13" i="5"/>
  <c r="M18" i="4"/>
  <c r="T18" i="4" s="1"/>
  <c r="T17" i="4" s="1"/>
  <c r="M7" i="4"/>
  <c r="M8" i="5"/>
  <c r="L17" i="5"/>
  <c r="J17" i="5"/>
  <c r="K17" i="5"/>
  <c r="L13" i="5"/>
  <c r="N13" i="5"/>
  <c r="N16" i="5" s="1"/>
  <c r="J13" i="5"/>
  <c r="M13" i="5" s="1"/>
  <c r="U15" i="5"/>
  <c r="U16" i="5"/>
  <c r="K13" i="5"/>
  <c r="U14" i="5"/>
  <c r="T16" i="5"/>
  <c r="T14" i="5"/>
  <c r="T15" i="5"/>
  <c r="I5" i="5"/>
  <c r="J6" i="5"/>
  <c r="L6" i="5"/>
  <c r="U9" i="5"/>
  <c r="U12" i="5"/>
  <c r="U11" i="5"/>
  <c r="U8" i="5"/>
  <c r="U10" i="5"/>
  <c r="K6" i="5"/>
  <c r="U7" i="5"/>
  <c r="H5" i="5"/>
  <c r="F5" i="5"/>
  <c r="G6" i="5"/>
  <c r="N6" i="5" s="1"/>
  <c r="N12" i="5" s="1"/>
  <c r="T8" i="5"/>
  <c r="T11" i="5"/>
  <c r="T12" i="5"/>
  <c r="T9" i="5"/>
  <c r="T10" i="5"/>
  <c r="T7" i="5"/>
  <c r="T6" i="5" s="1"/>
  <c r="E5" i="5"/>
  <c r="P6" i="5" s="1"/>
  <c r="M15" i="4"/>
  <c r="G13" i="4"/>
  <c r="N13" i="4" s="1"/>
  <c r="N16" i="4" s="1"/>
  <c r="V18" i="4"/>
  <c r="L17" i="4"/>
  <c r="J17" i="4"/>
  <c r="K17" i="4"/>
  <c r="J13" i="4"/>
  <c r="L13" i="4"/>
  <c r="U16" i="4"/>
  <c r="U15" i="4"/>
  <c r="K13" i="4"/>
  <c r="U14" i="4"/>
  <c r="T15" i="4"/>
  <c r="T16" i="4"/>
  <c r="T14" i="4"/>
  <c r="T13" i="4" s="1"/>
  <c r="L6" i="4"/>
  <c r="I5" i="4"/>
  <c r="J6" i="4"/>
  <c r="U12" i="4"/>
  <c r="U8" i="4"/>
  <c r="U10" i="4"/>
  <c r="H5" i="4"/>
  <c r="U9" i="4"/>
  <c r="K6" i="4"/>
  <c r="U11" i="4"/>
  <c r="U7" i="4"/>
  <c r="G6" i="4"/>
  <c r="N6" i="4" s="1"/>
  <c r="N12" i="4" s="1"/>
  <c r="F5" i="4"/>
  <c r="T12" i="4"/>
  <c r="T10" i="4"/>
  <c r="T8" i="4"/>
  <c r="T7" i="4"/>
  <c r="E5" i="4"/>
  <c r="P6" i="4" s="1"/>
  <c r="T11" i="4"/>
  <c r="T9" i="4"/>
  <c r="M15" i="3"/>
  <c r="M14" i="3"/>
  <c r="G6" i="3"/>
  <c r="G13" i="3"/>
  <c r="L17" i="3"/>
  <c r="J17" i="3"/>
  <c r="K17" i="3"/>
  <c r="J13" i="3"/>
  <c r="M13" i="3" s="1"/>
  <c r="N13" i="3"/>
  <c r="N16" i="3" s="1"/>
  <c r="L13" i="3"/>
  <c r="K13" i="3"/>
  <c r="U16" i="3"/>
  <c r="U15" i="3"/>
  <c r="U14" i="3"/>
  <c r="T15" i="3"/>
  <c r="T16" i="3"/>
  <c r="T14" i="3"/>
  <c r="T13" i="3" s="1"/>
  <c r="J6" i="3"/>
  <c r="M6" i="3" s="1"/>
  <c r="L6" i="3"/>
  <c r="N6" i="3"/>
  <c r="N12" i="3" s="1"/>
  <c r="U12" i="3"/>
  <c r="U11" i="3"/>
  <c r="U10" i="3"/>
  <c r="U9" i="3"/>
  <c r="U8" i="3"/>
  <c r="U7" i="3"/>
  <c r="K6" i="3"/>
  <c r="H5" i="3"/>
  <c r="T12" i="3"/>
  <c r="T11" i="3"/>
  <c r="T10" i="3"/>
  <c r="T9" i="3"/>
  <c r="T8" i="3"/>
  <c r="T7" i="3"/>
  <c r="T6" i="3" s="1"/>
  <c r="U15" i="1"/>
  <c r="U16" i="1"/>
  <c r="U14" i="1"/>
  <c r="T15" i="1"/>
  <c r="T16" i="1"/>
  <c r="T14" i="1"/>
  <c r="T13" i="1" s="1"/>
  <c r="U9" i="1"/>
  <c r="U10" i="1"/>
  <c r="U11" i="1"/>
  <c r="U12" i="1"/>
  <c r="U7" i="1"/>
  <c r="U8" i="1"/>
  <c r="K13" i="1"/>
  <c r="K6" i="1"/>
  <c r="G17" i="1"/>
  <c r="N17" i="1" s="1"/>
  <c r="N19" i="1" s="1"/>
  <c r="U19" i="1" s="1"/>
  <c r="M14" i="1"/>
  <c r="M10" i="1"/>
  <c r="M7" i="1"/>
  <c r="M9" i="1"/>
  <c r="L17" i="1"/>
  <c r="T12" i="1"/>
  <c r="T11" i="1"/>
  <c r="T10" i="1"/>
  <c r="T9" i="1"/>
  <c r="T8" i="1"/>
  <c r="T7" i="1"/>
  <c r="M11" i="1"/>
  <c r="N11" i="1"/>
  <c r="I6" i="1"/>
  <c r="J8" i="1"/>
  <c r="M8" i="1" s="1"/>
  <c r="J15" i="1"/>
  <c r="M15" i="1" s="1"/>
  <c r="I13" i="1"/>
  <c r="E5" i="1"/>
  <c r="P17" i="9" l="1"/>
  <c r="P13" i="9"/>
  <c r="P6" i="9"/>
  <c r="P5" i="9" s="1"/>
  <c r="G5" i="9"/>
  <c r="Q13" i="9"/>
  <c r="R13" i="9" s="1"/>
  <c r="Q17" i="9"/>
  <c r="R17" i="9" s="1"/>
  <c r="Q6" i="9"/>
  <c r="K5" i="9"/>
  <c r="J5" i="9"/>
  <c r="M5" i="9" s="1"/>
  <c r="N5" i="9"/>
  <c r="L5" i="9"/>
  <c r="V19" i="9"/>
  <c r="U17" i="9"/>
  <c r="V17" i="9" s="1"/>
  <c r="E27" i="9"/>
  <c r="V8" i="7"/>
  <c r="V12" i="7"/>
  <c r="E24" i="7"/>
  <c r="E25" i="7"/>
  <c r="K5" i="7"/>
  <c r="N5" i="7"/>
  <c r="E23" i="7" s="1"/>
  <c r="J5" i="7"/>
  <c r="M5" i="7" s="1"/>
  <c r="J5" i="3"/>
  <c r="M17" i="6"/>
  <c r="M13" i="6"/>
  <c r="P13" i="6"/>
  <c r="P6" i="6"/>
  <c r="Q17" i="6"/>
  <c r="R17" i="6" s="1"/>
  <c r="Q13" i="6"/>
  <c r="Q6" i="6"/>
  <c r="P5" i="6"/>
  <c r="T13" i="7"/>
  <c r="N12" i="6"/>
  <c r="V19" i="7"/>
  <c r="U17" i="7"/>
  <c r="V17" i="7" s="1"/>
  <c r="T13" i="6"/>
  <c r="M6" i="6"/>
  <c r="V10" i="7"/>
  <c r="N21" i="7"/>
  <c r="E26" i="7" s="1"/>
  <c r="V14" i="7"/>
  <c r="U13" i="7"/>
  <c r="V13" i="7" s="1"/>
  <c r="R6" i="7"/>
  <c r="Q5" i="7"/>
  <c r="R5" i="7" s="1"/>
  <c r="V16" i="7"/>
  <c r="R13" i="7"/>
  <c r="V15" i="7"/>
  <c r="T6" i="7"/>
  <c r="V6" i="7" s="1"/>
  <c r="V7" i="7"/>
  <c r="T6" i="1"/>
  <c r="N21" i="6"/>
  <c r="V14" i="6"/>
  <c r="U13" i="6"/>
  <c r="U6" i="6"/>
  <c r="V6" i="6" s="1"/>
  <c r="V7" i="6"/>
  <c r="R6" i="6"/>
  <c r="Q5" i="6"/>
  <c r="R5" i="6" s="1"/>
  <c r="R13" i="6"/>
  <c r="V15" i="6"/>
  <c r="V12" i="6"/>
  <c r="V16" i="6"/>
  <c r="V8" i="6"/>
  <c r="V9" i="6"/>
  <c r="V10" i="6"/>
  <c r="V11" i="6"/>
  <c r="V19" i="6"/>
  <c r="U17" i="6"/>
  <c r="V17" i="6" s="1"/>
  <c r="M17" i="5"/>
  <c r="M17" i="3"/>
  <c r="G5" i="3"/>
  <c r="N5" i="3" s="1"/>
  <c r="N21" i="3" s="1"/>
  <c r="L5" i="3"/>
  <c r="T17" i="5"/>
  <c r="V18" i="5"/>
  <c r="P6" i="3"/>
  <c r="P17" i="3"/>
  <c r="P13" i="3"/>
  <c r="P5" i="3" s="1"/>
  <c r="T17" i="3"/>
  <c r="V18" i="3"/>
  <c r="M17" i="4"/>
  <c r="M13" i="4"/>
  <c r="M5" i="3"/>
  <c r="U6" i="1"/>
  <c r="V15" i="5"/>
  <c r="V16" i="5"/>
  <c r="V19" i="5"/>
  <c r="U17" i="5"/>
  <c r="V17" i="5" s="1"/>
  <c r="Q6" i="5"/>
  <c r="Q17" i="5"/>
  <c r="Q13" i="5"/>
  <c r="V19" i="4"/>
  <c r="U17" i="4"/>
  <c r="V17" i="4" s="1"/>
  <c r="V19" i="3"/>
  <c r="U17" i="3"/>
  <c r="V14" i="5"/>
  <c r="U13" i="5"/>
  <c r="L5" i="5"/>
  <c r="J5" i="5"/>
  <c r="U6" i="5"/>
  <c r="V6" i="5" s="1"/>
  <c r="V7" i="5"/>
  <c r="T13" i="5"/>
  <c r="M6" i="5"/>
  <c r="V9" i="5"/>
  <c r="V12" i="5"/>
  <c r="V11" i="5"/>
  <c r="V8" i="5"/>
  <c r="V10" i="5"/>
  <c r="K5" i="5"/>
  <c r="G5" i="5"/>
  <c r="N5" i="5" s="1"/>
  <c r="N21" i="5" s="1"/>
  <c r="P17" i="5"/>
  <c r="P13" i="5"/>
  <c r="V14" i="4"/>
  <c r="U13" i="4"/>
  <c r="V13" i="4" s="1"/>
  <c r="J5" i="4"/>
  <c r="L5" i="4"/>
  <c r="U6" i="4"/>
  <c r="V7" i="4"/>
  <c r="V15" i="4"/>
  <c r="V16" i="4"/>
  <c r="M6" i="4"/>
  <c r="V12" i="4"/>
  <c r="V8" i="4"/>
  <c r="V10" i="4"/>
  <c r="K5" i="4"/>
  <c r="V9" i="4"/>
  <c r="V11" i="4"/>
  <c r="G5" i="4"/>
  <c r="N5" i="4" s="1"/>
  <c r="N21" i="4" s="1"/>
  <c r="T6" i="4"/>
  <c r="Q17" i="4"/>
  <c r="Q13" i="4"/>
  <c r="Q6" i="4"/>
  <c r="P17" i="4"/>
  <c r="P13" i="4"/>
  <c r="V10" i="3"/>
  <c r="V14" i="3"/>
  <c r="U13" i="3"/>
  <c r="V13" i="3" s="1"/>
  <c r="V7" i="3"/>
  <c r="U6" i="3"/>
  <c r="V6" i="3" s="1"/>
  <c r="V12" i="3"/>
  <c r="V16" i="3"/>
  <c r="V15" i="3"/>
  <c r="V11" i="3"/>
  <c r="V9" i="3"/>
  <c r="V8" i="3"/>
  <c r="K5" i="3"/>
  <c r="Q17" i="3"/>
  <c r="R17" i="3" s="1"/>
  <c r="Q6" i="3"/>
  <c r="Q13" i="3"/>
  <c r="R13" i="3" s="1"/>
  <c r="V14" i="1"/>
  <c r="U13" i="1"/>
  <c r="V13" i="1" s="1"/>
  <c r="V11" i="1"/>
  <c r="V9" i="1"/>
  <c r="V15" i="1"/>
  <c r="V16" i="1"/>
  <c r="V10" i="1"/>
  <c r="V12" i="1"/>
  <c r="V7" i="1"/>
  <c r="V8" i="1"/>
  <c r="V19" i="1"/>
  <c r="U17" i="1"/>
  <c r="V17" i="1" s="1"/>
  <c r="L6" i="1"/>
  <c r="L13" i="1"/>
  <c r="P17" i="1"/>
  <c r="P13" i="1"/>
  <c r="P6" i="1"/>
  <c r="H5" i="1"/>
  <c r="Q5" i="9" l="1"/>
  <c r="R5" i="9" s="1"/>
  <c r="R6" i="9"/>
  <c r="N21" i="9"/>
  <c r="E26" i="9" s="1"/>
  <c r="C24" i="9"/>
  <c r="E23" i="9"/>
  <c r="V17" i="3"/>
  <c r="V13" i="6"/>
  <c r="Q5" i="5"/>
  <c r="R6" i="5"/>
  <c r="P5" i="4"/>
  <c r="R17" i="5"/>
  <c r="P5" i="5"/>
  <c r="R13" i="5"/>
  <c r="V13" i="5"/>
  <c r="M5" i="5"/>
  <c r="R17" i="4"/>
  <c r="Q5" i="4"/>
  <c r="R5" i="4" s="1"/>
  <c r="R6" i="4"/>
  <c r="M5" i="4"/>
  <c r="V6" i="4"/>
  <c r="R13" i="4"/>
  <c r="Q5" i="3"/>
  <c r="R5" i="3" s="1"/>
  <c r="R6" i="3"/>
  <c r="P5" i="1"/>
  <c r="K5" i="1"/>
  <c r="Q17" i="1"/>
  <c r="Q13" i="1"/>
  <c r="R13" i="1" s="1"/>
  <c r="Q6" i="1"/>
  <c r="R6" i="1" s="1"/>
  <c r="J17" i="1"/>
  <c r="M17" i="1" s="1"/>
  <c r="G13" i="1"/>
  <c r="N13" i="1" s="1"/>
  <c r="J13" i="1"/>
  <c r="M13" i="1" s="1"/>
  <c r="R5" i="5" l="1"/>
  <c r="R17" i="1"/>
  <c r="Q5" i="1"/>
  <c r="R5" i="1" s="1"/>
  <c r="N16" i="1"/>
  <c r="F5" i="1"/>
  <c r="I5" i="1"/>
  <c r="L5" i="1" l="1"/>
  <c r="G6" i="1"/>
  <c r="N6" i="1" s="1"/>
  <c r="G5" i="1"/>
  <c r="N5" i="1" s="1"/>
  <c r="J5" i="1"/>
  <c r="J6" i="1"/>
  <c r="M6" i="1" l="1"/>
  <c r="M5" i="1"/>
  <c r="N21" i="1"/>
  <c r="V6" i="1"/>
  <c r="N12" i="1"/>
</calcChain>
</file>

<file path=xl/sharedStrings.xml><?xml version="1.0" encoding="utf-8"?>
<sst xmlns="http://schemas.openxmlformats.org/spreadsheetml/2006/main" count="590" uniqueCount="113">
  <si>
    <t>Контракт 1</t>
  </si>
  <si>
    <t>Контракт 2</t>
  </si>
  <si>
    <t>Контракт 3</t>
  </si>
  <si>
    <t>Контракт 4</t>
  </si>
  <si>
    <t>Контракт 5</t>
  </si>
  <si>
    <t>Контракт 6</t>
  </si>
  <si>
    <t>Контракт 7</t>
  </si>
  <si>
    <t>Контракт 8</t>
  </si>
  <si>
    <t>№ п/п</t>
  </si>
  <si>
    <t>Код группы</t>
  </si>
  <si>
    <t>Расходы</t>
  </si>
  <si>
    <t>Косвенные расходы</t>
  </si>
  <si>
    <t>ВСП</t>
  </si>
  <si>
    <t>ИТОГИ</t>
  </si>
  <si>
    <t>ИТОГО ПО КОМПАНИИ</t>
  </si>
  <si>
    <t>Выручка, млн.р.</t>
  </si>
  <si>
    <t>marg EBITDA, %</t>
  </si>
  <si>
    <t>EBITDA, млн.р.</t>
  </si>
  <si>
    <t>BB4mE, млн.р.</t>
  </si>
  <si>
    <t xml:space="preserve">При росте выручки на 3600млн.р., EBITDA выросла на 420млн.р., при этом маржинальность бизнеса на 1,67% хуже АППГ. </t>
  </si>
  <si>
    <t>Наблюдение</t>
  </si>
  <si>
    <t>BB4mE</t>
  </si>
  <si>
    <t>BB4mE составляет -146млн., это означает что на эту сумму нужно было бы снизить расходы, чтобы margEBITDA была на уровне АППГ.</t>
  </si>
  <si>
    <t>Поиск причин</t>
  </si>
  <si>
    <t>vs</t>
  </si>
  <si>
    <t>Таблица 1</t>
  </si>
  <si>
    <t>Таблица 3</t>
  </si>
  <si>
    <t>Таблица 2</t>
  </si>
  <si>
    <t>Вывод</t>
  </si>
  <si>
    <t>Косвенные расходы не изменились</t>
  </si>
  <si>
    <t>Направление/Контракт</t>
  </si>
  <si>
    <t>Направление 1</t>
  </si>
  <si>
    <t>Направление 2</t>
  </si>
  <si>
    <t>Направление 3</t>
  </si>
  <si>
    <t>Маржинальность всех направлений и контрактов осталась на том же уровне, это означает, что расходы и доходы росли пропорционально.</t>
  </si>
  <si>
    <t>По Направление 2 виден рост выручки в абсолютном значении, при этом по другим направлениям выручка не изменилась.</t>
  </si>
  <si>
    <t>Изменение структуры направлений бизнеса</t>
  </si>
  <si>
    <t>Изменение маржинальности бизнеса произошло из-за изменения структуры направлений бизнеса. Доля низкомаржинальных контрактов (Направление 2) с маржой 11,67% выросла с 70 до 83%.</t>
  </si>
  <si>
    <t>Таким образом снижение маржинальности бизнеса не связано с увеличением расходов.</t>
  </si>
  <si>
    <t>Поиск более высокомаржинальных проектов</t>
  </si>
  <si>
    <t>Задачи менеджмента по приведению BB4mE к равновесию</t>
  </si>
  <si>
    <t>Снижение расходов по компании в размере BB4mE</t>
  </si>
  <si>
    <t>Доля Направления</t>
  </si>
  <si>
    <t>Доля контракта в Направлении</t>
  </si>
  <si>
    <t>Ситуация 02</t>
  </si>
  <si>
    <t>Ситуация 01</t>
  </si>
  <si>
    <t>Выручка не изменилась</t>
  </si>
  <si>
    <t>BB4mE составляет -10млн., это означает что на эту сумму нужно было бы снизить расходы, чтобы margEBITDA была на уровне АППГ.</t>
  </si>
  <si>
    <t>Косвенные расходы изменились на 10млн.</t>
  </si>
  <si>
    <t xml:space="preserve">Изменение маржинальности бизнеса не связано с изменениями структуры контрактных портфелей внутри направлений бизнеса, а также структуры направлений бизнеса. </t>
  </si>
  <si>
    <t xml:space="preserve">Снижение маржинальности бизнеса связано с увеличением косвенных расходов на 10млн. </t>
  </si>
  <si>
    <t>Если понимаем причину роста указанных расходов, либо она несущественно, вопрос закрыт.</t>
  </si>
  <si>
    <t xml:space="preserve">При той же выручке, наблюдается снижение EBITDA на 100млн. и маржинальности на 2%. </t>
  </si>
  <si>
    <t>BB4mE составляет -100млн., это означает что на эту сумму нужно было бы снизить расходы, чтобы margEBITDA была на уровне АППГ.</t>
  </si>
  <si>
    <t>По Контракт 2 наблюдается снижение EBITDA на 100млн.</t>
  </si>
  <si>
    <t>Изменение маржинальности бизнеса произошло из-за непропорционального роста расходов по Контракт 2.</t>
  </si>
  <si>
    <t>Таким образом снижение маржинальности бизнеса связано с опережающим ростом расходов по одному из контрактов, без изменения доли направлений.</t>
  </si>
  <si>
    <t>Примеры причин</t>
  </si>
  <si>
    <t>По контракту 2 выросли на 33,3% выросла стоимость ТМЦ</t>
  </si>
  <si>
    <t>Поиск альтернативных поставщиков</t>
  </si>
  <si>
    <t>Поиск новых заказчиков / покупателей</t>
  </si>
  <si>
    <t>Ситуация 03</t>
  </si>
  <si>
    <t xml:space="preserve">При снижении выручки на 40млн.р., EBITDA снизилась на 5млн.р., при этом маржинальность бизнеса выросла на 0,03% по сравнению с АППГ. </t>
  </si>
  <si>
    <t>BB4mE составляет +1млн., это означает что на эту сумму бизнес сработал эффективнее.</t>
  </si>
  <si>
    <t>Несущественно снизилась доля высокомаржинального Направления 1 и увеличилась доля низкомаржинального Направления 2</t>
  </si>
  <si>
    <t>Завершился Контракт 2</t>
  </si>
  <si>
    <t>В абсолютном выражении бизнес потерял 5млн.  EBITDA, но для поддержания маржинальности он сработал эффективнее на 1 млн.</t>
  </si>
  <si>
    <t>Таким образом кажущееся повышение маржинальности это издержки недоработок по замещению выбывающих контрактов, что приводит к снижению абсолютной прибыли и никак не связано с качеством принимаемых менеджментом решений.</t>
  </si>
  <si>
    <t>Своевременная замена выбывающих контрактов</t>
  </si>
  <si>
    <t>Ситуация 04</t>
  </si>
  <si>
    <t>Ситуация 00</t>
  </si>
  <si>
    <t xml:space="preserve">При росте выручки на 1600млн.р., EBITDA выросла на 250млн.р., при этом маржинальность бизнеса на 0,5% лучше АППГ. </t>
  </si>
  <si>
    <t>BB4mE составляет +40млн., это означает что на эту сумму бизнес сработал эффективнее и для сохранения  margEBITDA на уровне АППГ есть запас в размере BB4mE.</t>
  </si>
  <si>
    <t>Появился новый высокомаржинальный Контракт 2, повысивший маржинальность Направление 1 с 13,71% до 25,45%</t>
  </si>
  <si>
    <t>Изменение структуры портфеля контрактов направления</t>
  </si>
  <si>
    <t>Ухудшилась экономика контрактов 6 и 7, требуется выяснить причины роста расходов на 50 и 20 млн., но снижение маржинальности указанных контрактов было нивелировано появлением нового Контракта 2, который позволил привести BB4mE Направления к +131млн.р.</t>
  </si>
  <si>
    <t>Таким образом, изменение структуры портфеля контрактов направлений и непосредственно структуры направлений бизнеса ухудшило показатели на -90млн.р. (-69-8-13), контракты 6 и 7 в свою очередь за счет непропорционального увеличения расходов на -70млн.р. (-50-20). Это привело к общему снижению на -160млн.
При этом привлечение нового Контракта 2, позволило непропорционально на +200млн. поднять эффективность бизнеса.
Общий эффект составил +40млн.р. BB4mE</t>
  </si>
  <si>
    <t>Проконтролировать правомерность роста расходов по Контракт 6 и 7 на 70млн.р.</t>
  </si>
  <si>
    <t>Завершение Контракта 2 привело к повышению доходности Направление 1 (BB4mE=+5млн.р.), но это нивелировалось потерями за счет изменения Структуры направлений бизнеса, связанного с увеличением доли низкомаржинального Направление 2 (BB4mE=-4млн.р.)</t>
  </si>
  <si>
    <t>Наблюдается изменение маржинальности Направление 1, при этом доля Направлений в структуре бизнеса не изменилась.</t>
  </si>
  <si>
    <t>По контракту 2 появились дополнительные расходы в виде конкретного подрядчика</t>
  </si>
  <si>
    <t>По Направление 2 виден непропорциональный рост выручки в абсолютном значении, при этом маржинальность направления снизилась до 10%. BB4eM направления составляет -78млн.р., и объясняется непропорциональным ростом расходов на 50 и 20млн.р. по Контракт 6 и Контракт 7, а также на 8 млн. за счет изменения Структуры портфеля контрактов в направлении</t>
  </si>
  <si>
    <t>АППГ</t>
  </si>
  <si>
    <t>Текущий период/Бюджет</t>
  </si>
  <si>
    <t>АППГ vs Текущий период/Бюджет</t>
  </si>
  <si>
    <r>
      <t>Контракт 2</t>
    </r>
    <r>
      <rPr>
        <b/>
        <sz val="11"/>
        <color rgb="FF00B050"/>
        <rFont val="Calibri"/>
        <family val="2"/>
        <charset val="204"/>
        <scheme val="minor"/>
      </rPr>
      <t xml:space="preserve"> (новый)</t>
    </r>
  </si>
  <si>
    <r>
      <t>Контракт 3</t>
    </r>
    <r>
      <rPr>
        <b/>
        <sz val="11"/>
        <color rgb="FFFF0000"/>
        <rFont val="Calibri"/>
        <family val="2"/>
        <charset val="204"/>
        <scheme val="minor"/>
      </rPr>
      <t xml:space="preserve"> (Завершенный)</t>
    </r>
  </si>
  <si>
    <t>BB4mE = EBITDA(текущ) − Выручка(текущ) × Маржа(АППГ)</t>
  </si>
  <si>
    <t>Эффект структруры направлений бизнеса</t>
  </si>
  <si>
    <t>Эффект структуры портфеля внутри направлений</t>
  </si>
  <si>
    <t>Эффект качественного улучшения контрактов</t>
  </si>
  <si>
    <t>Эффект качественного ухудшения контрактов</t>
  </si>
  <si>
    <t>Итоговое значение BB4mE, в т.ч. за счет</t>
  </si>
  <si>
    <t>Author: Denis Burov</t>
  </si>
  <si>
    <t>• Быстрое выявление аномалий и формирование списка контрактов/направлений для детального разбора</t>
  </si>
  <si>
    <t>• Объяснение динамики маржинальности EBITDA и постановка таргетов в деньгах</t>
  </si>
  <si>
    <t>Применение</t>
  </si>
  <si>
    <t>Ядро расчёта</t>
  </si>
  <si>
    <t>• Контроль перекосов маржинальности по одному и тому же контракту (в рамках сопоставимых условий)</t>
  </si>
  <si>
    <t>• Учет изменения структуры портфеля контрактов внутри направлений бизнеса</t>
  </si>
  <si>
    <t>• Межпериодное сравнение (АППГ → текущий период) с оценкой влияния структуры направлений бизнеса</t>
  </si>
  <si>
    <t>Ключевые особенности</t>
  </si>
  <si>
    <t>BB4mE — управленческий метод факторного анализа, предназначенный для сравнения маржинальности EBITDA текущего и прошлого периодов (АППГ), расчёта денежной суммы отклонения и выявления причин изменения результата.</t>
  </si>
  <si>
    <t>Определение</t>
  </si>
  <si>
    <t>Метод анализа и приведения маржинальности EBITDA к уровню АППГ (в денежном выражении)</t>
  </si>
  <si>
    <t>BB4mE — Burov’s Bridge for EBITDA margin</t>
  </si>
  <si>
    <t>Check 3: Есть контракты без статуса</t>
  </si>
  <si>
    <t>Check 2: Равновесие сходится к марже АППГ</t>
  </si>
  <si>
    <t>Check 1: Σ эффектов = BB4mE компании</t>
  </si>
  <si>
    <t>Контрольные проверки</t>
  </si>
  <si>
    <t>Контракт 2 (новый)</t>
  </si>
  <si>
    <t>Статус контракта</t>
  </si>
  <si>
    <t xml:space="preserve">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</si>
</sst>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_ ;[Red]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7030A0"/>
      <name val="Calibri"/>
      <family val="2"/>
      <charset val="204"/>
      <scheme val="minor"/>
    </font>
    <font>
      <b/>
      <sz val="12"/>
      <color indexed="36"/>
      <name val="Calibri"/>
      <family val="2"/>
      <charset val="204"/>
      <scheme val="minor"/>
    </font>
    <font>
      <b/>
      <sz val="18"/>
      <color rgb="FF7030A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name val="Calibri"/>
    </font>
    <font>
      <i/>
      <sz val="11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/>
  </cellStyleXfs>
  <cellXfs count="12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0" fontId="2" fillId="2" borderId="5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0" fontId="2" fillId="2" borderId="8" xfId="1" applyNumberFormat="1" applyFont="1" applyFill="1" applyBorder="1" applyAlignment="1">
      <alignment horizontal="center" vertical="center" wrapText="1"/>
    </xf>
    <xf numFmtId="10" fontId="2" fillId="2" borderId="0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10" fontId="2" fillId="2" borderId="7" xfId="1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5" xfId="0" applyFont="1" applyFill="1" applyBorder="1"/>
    <xf numFmtId="0" fontId="0" fillId="0" borderId="5" xfId="0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3" xfId="0" applyFont="1" applyFill="1" applyBorder="1" applyAlignment="1">
      <alignment horizontal="centerContinuous" vertical="center" wrapText="1"/>
    </xf>
    <xf numFmtId="0" fontId="2" fillId="3" borderId="14" xfId="0" applyFont="1" applyFill="1" applyBorder="1" applyAlignment="1">
      <alignment horizontal="centerContinuous" vertical="center" wrapText="1"/>
    </xf>
    <xf numFmtId="0" fontId="2" fillId="3" borderId="15" xfId="0" applyFont="1" applyFill="1" applyBorder="1" applyAlignment="1">
      <alignment horizontal="centerContinuous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2" fillId="2" borderId="4" xfId="1" applyFont="1" applyFill="1" applyBorder="1" applyAlignment="1">
      <alignment horizontal="center" vertical="center" wrapText="1"/>
    </xf>
    <xf numFmtId="9" fontId="0" fillId="0" borderId="4" xfId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Continuous" vertical="center" wrapText="1"/>
    </xf>
    <xf numFmtId="9" fontId="2" fillId="2" borderId="11" xfId="1" applyFont="1" applyFill="1" applyBorder="1" applyAlignment="1">
      <alignment horizontal="center" vertical="center" wrapText="1"/>
    </xf>
    <xf numFmtId="10" fontId="4" fillId="2" borderId="5" xfId="1" applyNumberFormat="1" applyFont="1" applyFill="1" applyBorder="1" applyAlignment="1">
      <alignment horizontal="center" vertical="center" wrapText="1"/>
    </xf>
    <xf numFmtId="10" fontId="4" fillId="2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5" fillId="0" borderId="5" xfId="1" applyNumberFormat="1" applyFont="1" applyBorder="1" applyAlignment="1">
      <alignment horizontal="center" vertical="center" wrapText="1"/>
    </xf>
    <xf numFmtId="10" fontId="5" fillId="0" borderId="0" xfId="1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9" fontId="4" fillId="2" borderId="4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7" fillId="2" borderId="0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0" fillId="0" borderId="11" xfId="1" applyFont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8" fillId="0" borderId="5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5" fillId="0" borderId="11" xfId="1" applyFont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9" fontId="9" fillId="2" borderId="11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9" fontId="7" fillId="2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left" indent="3"/>
    </xf>
    <xf numFmtId="0" fontId="18" fillId="0" borderId="0" xfId="0" applyFont="1"/>
    <xf numFmtId="0" fontId="19" fillId="0" borderId="0" xfId="0" applyFont="1"/>
    <xf numFmtId="165" fontId="18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164" fontId="2" fillId="2" borderId="7" xfId="2" applyNumberFormat="1" applyFont="1" applyFill="1" applyBorder="1" applyAlignment="1">
      <alignment horizontal="center" vertical="center" wrapText="1"/>
    </xf>
    <xf numFmtId="10" fontId="2" fillId="2" borderId="7" xfId="2" applyNumberFormat="1" applyFont="1" applyFill="1" applyBorder="1" applyAlignment="1">
      <alignment horizontal="center" vertical="center" wrapText="1"/>
    </xf>
    <xf numFmtId="10" fontId="2" fillId="2" borderId="8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Alignment="1">
      <alignment horizontal="center" vertical="center" wrapText="1"/>
    </xf>
    <xf numFmtId="10" fontId="2" fillId="2" borderId="0" xfId="2" applyNumberFormat="1" applyFont="1" applyFill="1" applyAlignment="1">
      <alignment horizontal="center" vertical="center" wrapText="1"/>
    </xf>
    <xf numFmtId="10" fontId="2" fillId="2" borderId="5" xfId="2" applyNumberFormat="1" applyFont="1" applyFill="1" applyBorder="1" applyAlignment="1">
      <alignment horizontal="center" vertical="center" wrapText="1"/>
    </xf>
    <xf numFmtId="9" fontId="0" fillId="0" borderId="11" xfId="2" applyFont="1" applyBorder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 wrapText="1"/>
    </xf>
    <xf numFmtId="9" fontId="2" fillId="2" borderId="11" xfId="2" applyFont="1" applyFill="1" applyBorder="1" applyAlignment="1">
      <alignment horizontal="center" vertical="center" wrapText="1"/>
    </xf>
    <xf numFmtId="9" fontId="2" fillId="2" borderId="4" xfId="2" applyFont="1" applyFill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9" fontId="7" fillId="2" borderId="4" xfId="2" applyFont="1" applyFill="1" applyBorder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10" fontId="7" fillId="2" borderId="0" xfId="2" applyNumberFormat="1" applyFont="1" applyFill="1" applyAlignment="1">
      <alignment horizontal="center" vertical="center" wrapText="1"/>
    </xf>
    <xf numFmtId="0" fontId="0" fillId="0" borderId="11" xfId="0" applyBorder="1"/>
    <xf numFmtId="0" fontId="0" fillId="0" borderId="5" xfId="0" applyBorder="1"/>
    <xf numFmtId="0" fontId="0" fillId="0" borderId="4" xfId="0" applyBorder="1"/>
    <xf numFmtId="0" fontId="20" fillId="0" borderId="0" xfId="0" applyFont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Процентный 2" xfId="2" xr:uid="{49A1121A-CE11-41B9-8C85-21DE7ACC7F19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BB4E\BB4mE_updated.xlsx" TargetMode="External"/><Relationship Id="rId1" Type="http://schemas.openxmlformats.org/officeDocument/2006/relationships/externalLinkPath" Target="BB4mE_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9;&#1094;&#1077;&#1085;&#1072;&#1088;&#1080;&#108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онтроль контрактов"/>
      <sheetName val="в01"/>
      <sheetName val="в02"/>
      <sheetName val="в03"/>
      <sheetName val="в04"/>
      <sheetName val="Равновес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ценар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EAAA-750A-4EEA-AE34-93C01FEFF1E4}">
  <dimension ref="A1:A21"/>
  <sheetViews>
    <sheetView tabSelected="1" workbookViewId="0">
      <pane ySplit="3" topLeftCell="A4" activePane="bottomLeft" state="frozen"/>
      <selection pane="bottomLeft" activeCell="A17" sqref="A17"/>
    </sheetView>
  </sheetViews>
  <sheetFormatPr defaultRowHeight="14.4" x14ac:dyDescent="0.55000000000000004"/>
  <cols>
    <col min="1" max="1" width="110" customWidth="1"/>
  </cols>
  <sheetData>
    <row r="1" spans="1:1" ht="18.3" x14ac:dyDescent="0.55000000000000004">
      <c r="A1" s="95" t="s">
        <v>105</v>
      </c>
    </row>
    <row r="2" spans="1:1" x14ac:dyDescent="0.55000000000000004">
      <c r="A2" s="94" t="s">
        <v>104</v>
      </c>
    </row>
    <row r="3" spans="1:1" x14ac:dyDescent="0.55000000000000004">
      <c r="A3" s="92"/>
    </row>
    <row r="4" spans="1:1" x14ac:dyDescent="0.55000000000000004">
      <c r="A4" s="93" t="s">
        <v>103</v>
      </c>
    </row>
    <row r="5" spans="1:1" ht="28.8" x14ac:dyDescent="0.55000000000000004">
      <c r="A5" s="92" t="s">
        <v>102</v>
      </c>
    </row>
    <row r="6" spans="1:1" x14ac:dyDescent="0.55000000000000004">
      <c r="A6" s="92"/>
    </row>
    <row r="7" spans="1:1" x14ac:dyDescent="0.55000000000000004">
      <c r="A7" s="93" t="s">
        <v>101</v>
      </c>
    </row>
    <row r="8" spans="1:1" x14ac:dyDescent="0.55000000000000004">
      <c r="A8" s="92" t="s">
        <v>100</v>
      </c>
    </row>
    <row r="9" spans="1:1" x14ac:dyDescent="0.55000000000000004">
      <c r="A9" s="92" t="s">
        <v>99</v>
      </c>
    </row>
    <row r="10" spans="1:1" x14ac:dyDescent="0.55000000000000004">
      <c r="A10" s="92" t="s">
        <v>98</v>
      </c>
    </row>
    <row r="11" spans="1:1" x14ac:dyDescent="0.55000000000000004">
      <c r="A11" s="92"/>
    </row>
    <row r="12" spans="1:1" x14ac:dyDescent="0.55000000000000004">
      <c r="A12" s="93" t="s">
        <v>97</v>
      </c>
    </row>
    <row r="13" spans="1:1" x14ac:dyDescent="0.55000000000000004">
      <c r="A13" s="92" t="s">
        <v>87</v>
      </c>
    </row>
    <row r="14" spans="1:1" x14ac:dyDescent="0.55000000000000004">
      <c r="A14" s="92"/>
    </row>
    <row r="15" spans="1:1" x14ac:dyDescent="0.55000000000000004">
      <c r="A15" s="93" t="s">
        <v>96</v>
      </c>
    </row>
    <row r="16" spans="1:1" x14ac:dyDescent="0.55000000000000004">
      <c r="A16" s="92" t="s">
        <v>112</v>
      </c>
    </row>
    <row r="17" spans="1:1" x14ac:dyDescent="0.55000000000000004">
      <c r="A17" s="92" t="s">
        <v>95</v>
      </c>
    </row>
    <row r="18" spans="1:1" x14ac:dyDescent="0.55000000000000004">
      <c r="A18" s="92" t="s">
        <v>94</v>
      </c>
    </row>
    <row r="19" spans="1:1" x14ac:dyDescent="0.55000000000000004">
      <c r="A19" s="92"/>
    </row>
    <row r="20" spans="1:1" x14ac:dyDescent="0.55000000000000004">
      <c r="A20" s="92" t="s">
        <v>93</v>
      </c>
    </row>
    <row r="21" spans="1:1" x14ac:dyDescent="0.55000000000000004">
      <c r="A21" s="9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D04A-78C6-49B3-B116-8BA0E103AB0C}">
  <sheetPr>
    <tabColor rgb="FF00B050"/>
  </sheetPr>
  <dimension ref="B2:V44"/>
  <sheetViews>
    <sheetView showWhiteSpace="0" zoomScale="70" zoomScaleNormal="70" zoomScaleSheetLayoutView="70" zoomScalePageLayoutView="67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customHeight="1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121" t="s">
        <v>111</v>
      </c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120"/>
      <c r="C4" s="96"/>
      <c r="D4" s="11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118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4620</v>
      </c>
      <c r="F5" s="2">
        <f>F6+F13+F17+F20</f>
        <v>605</v>
      </c>
      <c r="G5" s="107">
        <f>IF(E5=0,"",F5/E5)</f>
        <v>0.13095238095238096</v>
      </c>
      <c r="H5" s="6">
        <f>H6+H13+H17+H20</f>
        <v>6220</v>
      </c>
      <c r="I5" s="2">
        <f>I6+I13+I17+I20</f>
        <v>855</v>
      </c>
      <c r="J5" s="106">
        <f>IF(H5=0,"",I5/H5)</f>
        <v>0.13745980707395497</v>
      </c>
      <c r="K5" s="64">
        <f>H5-E5</f>
        <v>1600</v>
      </c>
      <c r="L5" s="66">
        <f>I5-F5</f>
        <v>250</v>
      </c>
      <c r="M5" s="105">
        <f>J5-G5</f>
        <v>6.5074261215740115E-3</v>
      </c>
      <c r="N5" s="72">
        <f>I5-H5*G5</f>
        <v>40.476190476190482</v>
      </c>
      <c r="O5" s="76"/>
      <c r="P5" s="113">
        <f>P6+P13+P17+P20</f>
        <v>1</v>
      </c>
      <c r="Q5" s="113">
        <f>Q6+Q13+Q17+Q20</f>
        <v>1</v>
      </c>
      <c r="R5" s="112">
        <f>Q5-P5</f>
        <v>0</v>
      </c>
      <c r="T5" s="113"/>
      <c r="U5" s="113"/>
      <c r="V5" s="112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620</v>
      </c>
      <c r="F6" s="2">
        <f>SUMIF($C7:$C$19,$C6,F7:F$19)</f>
        <v>85</v>
      </c>
      <c r="G6" s="107">
        <f>IF(E6=0,"",F6/E6)</f>
        <v>0.13709677419354838</v>
      </c>
      <c r="H6" s="6">
        <f>SUMIF($C7:$C$19,$C6,H7:H$19)</f>
        <v>1120</v>
      </c>
      <c r="I6" s="2">
        <f>SUMIF($C7:$C$19,$C6,I7:I$19)</f>
        <v>285</v>
      </c>
      <c r="J6" s="117">
        <f>IF(H6=0,"",I6/H6)</f>
        <v>0.2544642857142857</v>
      </c>
      <c r="K6" s="6">
        <f>H6-E6</f>
        <v>500</v>
      </c>
      <c r="L6" s="2">
        <f>I6-F6</f>
        <v>200</v>
      </c>
      <c r="M6" s="105">
        <f>J6-G6</f>
        <v>0.11736751152073732</v>
      </c>
      <c r="N6" s="72">
        <f>I6-H6*G6</f>
        <v>131.45161290322582</v>
      </c>
      <c r="O6" s="76"/>
      <c r="P6" s="113">
        <f>E6/$E$5</f>
        <v>0.13419913419913421</v>
      </c>
      <c r="Q6" s="115">
        <f>H6/$H$5</f>
        <v>0.18006430868167203</v>
      </c>
      <c r="R6" s="112">
        <f>Q6-P6</f>
        <v>4.5865174482537824E-2</v>
      </c>
      <c r="T6" s="113">
        <f>SUMIF($C7:$C$19,$C6,T7:T$19)</f>
        <v>1</v>
      </c>
      <c r="U6" s="113">
        <f>SUMIF($C7:$C$19,$C6,U7:U$19)</f>
        <v>1</v>
      </c>
      <c r="V6" s="112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111">
        <f>IF(E7=0,"",F7/E7)</f>
        <v>0.2</v>
      </c>
      <c r="H7" s="8">
        <v>100</v>
      </c>
      <c r="I7" s="1">
        <v>20</v>
      </c>
      <c r="J7" s="111">
        <f>IF(H7=0,"",I7/H7)</f>
        <v>0.2</v>
      </c>
      <c r="K7" s="8">
        <f>H7-E7</f>
        <v>0</v>
      </c>
      <c r="L7" s="1">
        <f>I7-F7</f>
        <v>0</v>
      </c>
      <c r="M7" s="116">
        <f>J7-G7</f>
        <v>0</v>
      </c>
      <c r="N7" s="34">
        <f>I7-H7*G7</f>
        <v>0</v>
      </c>
      <c r="O7" s="76" t="str">
        <f>IF(AND(N(E7)&gt;0,N(H7)&gt;0),"Existing",IF(AND(N(E7)=0,N(H7)&gt;0),"New",IF(AND(N(E7)&gt;0,N(H7)=0),"Closed","")))</f>
        <v>Existing</v>
      </c>
      <c r="P7" s="8"/>
      <c r="Q7" s="8"/>
      <c r="R7" s="19"/>
      <c r="T7" s="114">
        <f>E7/$E$6</f>
        <v>0.16129032258064516</v>
      </c>
      <c r="U7" s="114">
        <f>H7/$H$6</f>
        <v>8.9285714285714288E-2</v>
      </c>
      <c r="V7" s="108">
        <f>U7-T7</f>
        <v>-7.2004608294930869E-2</v>
      </c>
    </row>
    <row r="8" spans="2:22" x14ac:dyDescent="0.55000000000000004">
      <c r="B8" s="8"/>
      <c r="C8" t="s">
        <v>31</v>
      </c>
      <c r="D8" s="23" t="s">
        <v>110</v>
      </c>
      <c r="E8" s="8"/>
      <c r="G8" s="111"/>
      <c r="H8" s="8">
        <v>500</v>
      </c>
      <c r="I8" s="1">
        <v>200</v>
      </c>
      <c r="J8" s="110">
        <f>IF(H8=0,"",I8/H8)</f>
        <v>0.4</v>
      </c>
      <c r="K8" s="49">
        <f>H8-E8</f>
        <v>500</v>
      </c>
      <c r="L8" s="65">
        <f>I8-F8</f>
        <v>200</v>
      </c>
      <c r="M8" s="116">
        <f>J8-G8</f>
        <v>0.4</v>
      </c>
      <c r="N8" s="71">
        <f>I8-H8*G8</f>
        <v>200</v>
      </c>
      <c r="O8" s="76" t="str">
        <f>IF(AND(N(E8)&gt;0,N(H8)&gt;0),"Existing",IF(AND(N(E8)=0,N(H8)&gt;0),"New",IF(AND(N(E8)&gt;0,N(H8)=0),"Closed","")))</f>
        <v>New</v>
      </c>
      <c r="P8" s="8"/>
      <c r="Q8" s="8"/>
      <c r="R8" s="19"/>
      <c r="T8" s="114">
        <f>E8/$E$6</f>
        <v>0</v>
      </c>
      <c r="U8" s="114">
        <f>H8/$H$6</f>
        <v>0.44642857142857145</v>
      </c>
      <c r="V8" s="108">
        <f>U8-T8</f>
        <v>0.44642857142857145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1">
        <v>5</v>
      </c>
      <c r="G9" s="111">
        <f>IF(E9=0,"",F9/E9)</f>
        <v>0.125</v>
      </c>
      <c r="H9" s="8">
        <v>40</v>
      </c>
      <c r="I9" s="1">
        <v>5</v>
      </c>
      <c r="J9" s="111">
        <f>IF(H9=0,"",I9/H9)</f>
        <v>0.125</v>
      </c>
      <c r="K9" s="8">
        <f>H9-E9</f>
        <v>0</v>
      </c>
      <c r="L9" s="1">
        <f>I9-F9</f>
        <v>0</v>
      </c>
      <c r="M9" s="116">
        <f>J9-G9</f>
        <v>0</v>
      </c>
      <c r="N9" s="34">
        <f>I9-H9*G9</f>
        <v>0</v>
      </c>
      <c r="O9" s="76" t="str">
        <f>IF(AND(N(E9)&gt;0,N(H9)&gt;0),"Existing",IF(AND(N(E9)=0,N(H9)&gt;0),"New",IF(AND(N(E9)&gt;0,N(H9)=0),"Closed","")))</f>
        <v>Existing</v>
      </c>
      <c r="P9" s="8"/>
      <c r="Q9" s="8"/>
      <c r="R9" s="19"/>
      <c r="T9" s="114">
        <f>E9/$E$6</f>
        <v>6.4516129032258063E-2</v>
      </c>
      <c r="U9" s="114">
        <f>H9/$H$6</f>
        <v>3.5714285714285712E-2</v>
      </c>
      <c r="V9" s="108">
        <f>U9-T9</f>
        <v>-2.880184331797235E-2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111">
        <f>IF(E10=0,"",F10/E10)</f>
        <v>0.5</v>
      </c>
      <c r="H10" s="8">
        <v>80</v>
      </c>
      <c r="I10" s="1">
        <v>40</v>
      </c>
      <c r="J10" s="110">
        <f>IF(H10=0,"",I10/H10)</f>
        <v>0.5</v>
      </c>
      <c r="K10" s="8">
        <f>H10-E10</f>
        <v>0</v>
      </c>
      <c r="L10" s="1">
        <f>I10-F10</f>
        <v>0</v>
      </c>
      <c r="M10" s="116">
        <f>J10-G10</f>
        <v>0</v>
      </c>
      <c r="N10" s="34">
        <f>I10-H10*G10</f>
        <v>0</v>
      </c>
      <c r="O10" s="76" t="str">
        <f>IF(AND(N(E10)&gt;0,N(H10)&gt;0),"Existing",IF(AND(N(E10)=0,N(H10)&gt;0),"New",IF(AND(N(E10)&gt;0,N(H10)=0),"Closed","")))</f>
        <v>Existing</v>
      </c>
      <c r="P10" s="8"/>
      <c r="Q10" s="8"/>
      <c r="R10" s="19"/>
      <c r="T10" s="114">
        <f>E10/$E$6</f>
        <v>0.12903225806451613</v>
      </c>
      <c r="U10" s="114">
        <f>H10/$H$6</f>
        <v>7.1428571428571425E-2</v>
      </c>
      <c r="V10" s="108">
        <f>U10-T10</f>
        <v>-5.7603686635944701E-2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111">
        <f>IF(E11=0,"",F11/E11)</f>
        <v>0.05</v>
      </c>
      <c r="H11" s="8">
        <v>400</v>
      </c>
      <c r="I11" s="1">
        <v>20</v>
      </c>
      <c r="J11" s="111">
        <f>IF(H11=0,"",I11/H11)</f>
        <v>0.05</v>
      </c>
      <c r="K11" s="49">
        <f>H11-E11</f>
        <v>0</v>
      </c>
      <c r="L11" s="65">
        <f>I11-F11</f>
        <v>0</v>
      </c>
      <c r="M11" s="116">
        <f>J11-G11</f>
        <v>0</v>
      </c>
      <c r="N11" s="34">
        <f>I11-H11*G11</f>
        <v>0</v>
      </c>
      <c r="O11" s="76" t="str">
        <f>IF(AND(N(E11)&gt;0,N(H11)&gt;0),"Existing",IF(AND(N(E11)=0,N(H11)&gt;0),"New",IF(AND(N(E11)&gt;0,N(H11)=0),"Closed","")))</f>
        <v>Existing</v>
      </c>
      <c r="P11" s="8"/>
      <c r="Q11" s="8"/>
      <c r="R11" s="19"/>
      <c r="T11" s="114">
        <f>E11/$E$6</f>
        <v>0.64516129032258063</v>
      </c>
      <c r="U11" s="114">
        <f>H11/$H$6</f>
        <v>0.35714285714285715</v>
      </c>
      <c r="V11" s="108">
        <f>U11-T11</f>
        <v>-0.28801843317972348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>H12-E12</f>
        <v>0</v>
      </c>
      <c r="L12" s="1">
        <f>I12-F12</f>
        <v>0</v>
      </c>
      <c r="M12" s="70">
        <f>J12-G12</f>
        <v>0</v>
      </c>
      <c r="N12" s="46">
        <f>N6-SUM(N7:N11)</f>
        <v>-68.548387096774178</v>
      </c>
      <c r="O12" s="76"/>
      <c r="P12" s="8"/>
      <c r="Q12" s="8"/>
      <c r="R12" s="19"/>
      <c r="T12" s="114">
        <f>E12/$E$6</f>
        <v>0</v>
      </c>
      <c r="U12" s="114">
        <f>H12/$H$6</f>
        <v>0</v>
      </c>
      <c r="V12" s="108">
        <f>U12-T12</f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107">
        <f>IF(E13=0,"",F13/E13)</f>
        <v>0.11666666666666667</v>
      </c>
      <c r="H13" s="6">
        <f>SUMIF($C14:$C$19,$C13,H14:H$19)</f>
        <v>4700</v>
      </c>
      <c r="I13" s="2">
        <f>SUMIF($C14:$C$19,$C13,I14:I$19)</f>
        <v>470</v>
      </c>
      <c r="J13" s="106">
        <f>IF(H13=0,"",I13/H13)</f>
        <v>0.1</v>
      </c>
      <c r="K13" s="6">
        <f>H13-E13</f>
        <v>1100</v>
      </c>
      <c r="L13" s="2">
        <f>I13-F13</f>
        <v>50</v>
      </c>
      <c r="M13" s="105">
        <f>J13-G13</f>
        <v>-1.6666666666666663E-2</v>
      </c>
      <c r="N13" s="67">
        <f>I13-H13*G13</f>
        <v>-78.333333333333371</v>
      </c>
      <c r="O13" s="76"/>
      <c r="P13" s="113">
        <f>E13/$E$5</f>
        <v>0.77922077922077926</v>
      </c>
      <c r="Q13" s="115">
        <f>H13/$H$5</f>
        <v>0.75562700964630225</v>
      </c>
      <c r="R13" s="112">
        <f>Q13-P13</f>
        <v>-2.3593769574477008E-2</v>
      </c>
      <c r="T13" s="113">
        <f>SUMIF($C14:$C$19,$C13,T14:T$19)</f>
        <v>1</v>
      </c>
      <c r="U13" s="113">
        <f>SUMIF($C14:$C$19,$C13,U14:U$19)</f>
        <v>1</v>
      </c>
      <c r="V13" s="112">
        <f>U13-T13</f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111">
        <f>IF(E14=0,"",F14/E14)</f>
        <v>0.1</v>
      </c>
      <c r="H14" s="8">
        <v>4000</v>
      </c>
      <c r="I14" s="1">
        <v>350</v>
      </c>
      <c r="J14" s="110">
        <f>IF(H14=0,"",I14/H14)</f>
        <v>8.7499999999999994E-2</v>
      </c>
      <c r="K14" s="8">
        <f>H14-E14</f>
        <v>1000</v>
      </c>
      <c r="L14" s="65">
        <f>I14-F14</f>
        <v>50</v>
      </c>
      <c r="M14" s="109">
        <f>J14-G14</f>
        <v>-1.2500000000000011E-2</v>
      </c>
      <c r="N14" s="46">
        <f>I14-H14*G14</f>
        <v>-50</v>
      </c>
      <c r="O14" s="76" t="str">
        <f>IF(AND(N(E14)&gt;0,N(H14)&gt;0),"Existing",IF(AND(N(E14)=0,N(H14)&gt;0),"New",IF(AND(N(E14)&gt;0,N(H14)=0),"Closed","")))</f>
        <v>Existing</v>
      </c>
      <c r="P14" s="8"/>
      <c r="Q14" s="8"/>
      <c r="R14" s="19"/>
      <c r="T14" s="114">
        <f>E14/$E$13</f>
        <v>0.83333333333333337</v>
      </c>
      <c r="U14" s="114">
        <f>H14/$H$13</f>
        <v>0.85106382978723405</v>
      </c>
      <c r="V14" s="108">
        <f>U14-T14</f>
        <v>1.7730496453900679E-2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111">
        <f>IF(E15=0,"",F15/E15)</f>
        <v>0.2</v>
      </c>
      <c r="H15" s="8">
        <v>700</v>
      </c>
      <c r="I15" s="1">
        <v>120</v>
      </c>
      <c r="J15" s="110">
        <f>IF(H15=0,"",I15/H15)</f>
        <v>0.17142857142857143</v>
      </c>
      <c r="K15" s="8">
        <f>H15-E15</f>
        <v>100</v>
      </c>
      <c r="L15" s="1">
        <f>I15-F15</f>
        <v>0</v>
      </c>
      <c r="M15" s="109">
        <f>J15-G15</f>
        <v>-2.8571428571428581E-2</v>
      </c>
      <c r="N15" s="46">
        <f>I15-H15*G15</f>
        <v>-20</v>
      </c>
      <c r="O15" s="76" t="str">
        <f>IF(AND(N(E15)&gt;0,N(H15)&gt;0),"Existing",IF(AND(N(E15)=0,N(H15)&gt;0),"New",IF(AND(N(E15)&gt;0,N(H15)=0),"Closed","")))</f>
        <v>Existing</v>
      </c>
      <c r="P15" s="8"/>
      <c r="Q15" s="8"/>
      <c r="R15" s="19"/>
      <c r="T15" s="114">
        <f>E15/$E$13</f>
        <v>0.16666666666666666</v>
      </c>
      <c r="U15" s="114">
        <f>H15/$H$13</f>
        <v>0.14893617021276595</v>
      </c>
      <c r="V15" s="108">
        <f>U15-T15</f>
        <v>-1.7730496453900707E-2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>H16-E16</f>
        <v>0</v>
      </c>
      <c r="L16" s="1">
        <f>I16-F16</f>
        <v>0</v>
      </c>
      <c r="M16" s="32">
        <f>J16-G16</f>
        <v>0</v>
      </c>
      <c r="N16" s="46">
        <f>N13-SUM(N14:N15)</f>
        <v>-8.3333333333333712</v>
      </c>
      <c r="O16" s="76"/>
      <c r="P16" s="8"/>
      <c r="Q16" s="8"/>
      <c r="R16" s="19"/>
      <c r="T16" s="114">
        <f>E16/$E$13</f>
        <v>0</v>
      </c>
      <c r="U16" s="114">
        <f>H16/$H$13</f>
        <v>0</v>
      </c>
      <c r="V16" s="108">
        <f>U16-T16</f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107">
        <f>IF(E17=0,"",F17/E17)</f>
        <v>0.5</v>
      </c>
      <c r="H17" s="6">
        <f>SUMIF($C18:$C$19,$C17,H18:H$19)</f>
        <v>400</v>
      </c>
      <c r="I17" s="2">
        <f>SUMIF($C18:$C$19,$C17,I18:I$19)</f>
        <v>200</v>
      </c>
      <c r="J17" s="106">
        <f>IF(H17=0,"",I17/H17)</f>
        <v>0.5</v>
      </c>
      <c r="K17" s="6">
        <f>H17-E17</f>
        <v>0</v>
      </c>
      <c r="L17" s="2">
        <f>I17-F17</f>
        <v>0</v>
      </c>
      <c r="M17" s="105">
        <f>J17-G17</f>
        <v>0</v>
      </c>
      <c r="N17" s="33">
        <f>I17-H17*G17</f>
        <v>0</v>
      </c>
      <c r="O17" s="76"/>
      <c r="P17" s="113">
        <f>E17/$E$5</f>
        <v>8.6580086580086577E-2</v>
      </c>
      <c r="Q17" s="113">
        <f>H17/$H$5</f>
        <v>6.4308681672025719E-2</v>
      </c>
      <c r="R17" s="112">
        <f>Q17-P17</f>
        <v>-2.2271404908060857E-2</v>
      </c>
      <c r="T17" s="113">
        <f>SUMIF($C18:$C$19,$C17,T18:T$19)</f>
        <v>0</v>
      </c>
      <c r="U17" s="113">
        <f>SUMIF($C18:$C$19,$C17,U18:U$19)</f>
        <v>0</v>
      </c>
      <c r="V17" s="112">
        <f>U17-T17</f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111">
        <f>IF(E18=0,"",F18/E18)</f>
        <v>0.5</v>
      </c>
      <c r="H18" s="8">
        <v>400</v>
      </c>
      <c r="I18" s="1">
        <v>200</v>
      </c>
      <c r="J18" s="110">
        <f>IF(H18=0,"",I18/H18)</f>
        <v>0.5</v>
      </c>
      <c r="K18" s="8">
        <f>H18-E18</f>
        <v>0</v>
      </c>
      <c r="L18" s="1">
        <f>I18-F18</f>
        <v>0</v>
      </c>
      <c r="M18" s="109">
        <f>J18-G18</f>
        <v>0</v>
      </c>
      <c r="N18" s="34">
        <f>I18-H18*G18</f>
        <v>0</v>
      </c>
      <c r="O18" s="76" t="str">
        <f>IF(AND(N(E18)&gt;0,N(H18)&gt;0),"Existing",IF(AND(N(E18)=0,N(H18)&gt;0),"New",IF(AND(N(E18)&gt;0,N(H18)=0),"Closed","")))</f>
        <v>Existing</v>
      </c>
      <c r="P18" s="8"/>
      <c r="Q18" s="8"/>
      <c r="R18" s="19"/>
      <c r="T18" s="8">
        <f>P18-M18</f>
        <v>0</v>
      </c>
      <c r="U18" s="8">
        <f>Q18-N18</f>
        <v>0</v>
      </c>
      <c r="V18" s="108">
        <f>U18-T18</f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>H19-E19</f>
        <v>0</v>
      </c>
      <c r="L19" s="1">
        <f>I19-F19</f>
        <v>0</v>
      </c>
      <c r="M19" s="32">
        <f>J19-G19</f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108">
        <f>U19-T19</f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107"/>
      <c r="H20" s="6"/>
      <c r="I20" s="2">
        <v>-100</v>
      </c>
      <c r="J20" s="106"/>
      <c r="K20" s="6"/>
      <c r="L20" s="2">
        <f>I20-F20</f>
        <v>0</v>
      </c>
      <c r="M20" s="105">
        <f>J20-G20</f>
        <v>0</v>
      </c>
      <c r="N20" s="33">
        <f>I20-F20</f>
        <v>0</v>
      </c>
      <c r="O20" s="76"/>
      <c r="P20" s="6"/>
      <c r="Q20" s="6"/>
      <c r="R20" s="18"/>
      <c r="T20" s="6"/>
      <c r="U20" s="6"/>
      <c r="V20" s="18"/>
    </row>
    <row r="21" spans="2:22" ht="14.7" customHeight="1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04"/>
      <c r="H21" s="11"/>
      <c r="I21" s="12"/>
      <c r="J21" s="103"/>
      <c r="K21" s="11"/>
      <c r="L21" s="12"/>
      <c r="M21" s="102">
        <f>J21-G21</f>
        <v>0</v>
      </c>
      <c r="N21" s="68">
        <f>N5-N6-N13-N17-N20</f>
        <v>-12.642089093701969</v>
      </c>
      <c r="O21" s="76"/>
      <c r="P21" s="11"/>
      <c r="Q21" s="11"/>
      <c r="R21" s="20"/>
      <c r="T21" s="11"/>
      <c r="U21" s="11"/>
      <c r="V21" s="20"/>
    </row>
    <row r="23" spans="2:22" ht="18.3" customHeight="1" x14ac:dyDescent="0.7">
      <c r="B23" s="101" t="s">
        <v>109</v>
      </c>
      <c r="C23" s="100"/>
      <c r="D23" s="78" t="s">
        <v>92</v>
      </c>
      <c r="E23" s="80">
        <f>N5</f>
        <v>40.476190476190482</v>
      </c>
    </row>
    <row r="24" spans="2:22" ht="18.3" customHeight="1" x14ac:dyDescent="0.65">
      <c r="B24" s="99" t="s">
        <v>108</v>
      </c>
      <c r="C24" s="98" t="str">
        <f>IF(ABS(N5-SUM(N6,N12,N16,N19,N20))&lt;0.0001,"OK","ERROR")</f>
        <v>ERROR</v>
      </c>
      <c r="D24" s="77" t="s">
        <v>90</v>
      </c>
      <c r="E24" s="81">
        <f>SUMIF(O7:O20,1,N7:N20)</f>
        <v>0</v>
      </c>
    </row>
    <row r="25" spans="2:22" ht="18.3" customHeight="1" x14ac:dyDescent="0.65">
      <c r="B25" s="99" t="s">
        <v>107</v>
      </c>
      <c r="C25" s="98" t="e">
        <f>IF(ABS([1]Равновесие!B9-Основной [2]сценарий!G5)&lt;0.0001,"OK","ERROR")</f>
        <v>#NAME?</v>
      </c>
      <c r="D25" s="77" t="s">
        <v>91</v>
      </c>
      <c r="E25" s="81">
        <f>SUMIF(O7:O20,2,N7:N20)</f>
        <v>0</v>
      </c>
    </row>
    <row r="26" spans="2:22" ht="18.3" customHeight="1" x14ac:dyDescent="0.65">
      <c r="B26" s="99" t="s">
        <v>106</v>
      </c>
      <c r="C26" s="98" t="str">
        <f>IF(COUNTBLANK(O7:O19)=0,"OK","ERROR")</f>
        <v>ERROR</v>
      </c>
      <c r="D26" s="77" t="s">
        <v>88</v>
      </c>
      <c r="E26" s="81">
        <f>N21</f>
        <v>-12.642089093701969</v>
      </c>
    </row>
    <row r="27" spans="2:22" ht="18.3" customHeight="1" x14ac:dyDescent="0.65">
      <c r="D27" s="77" t="s">
        <v>89</v>
      </c>
      <c r="E27" s="81">
        <f>N12+N16+N19</f>
        <v>-76.881720430107549</v>
      </c>
    </row>
    <row r="29" spans="2:22" x14ac:dyDescent="0.55000000000000004">
      <c r="B29" s="1" t="s">
        <v>70</v>
      </c>
    </row>
    <row r="30" spans="2:22" ht="24" customHeight="1" x14ac:dyDescent="0.55000000000000004">
      <c r="B30" s="36" t="s">
        <v>20</v>
      </c>
      <c r="D30" s="83" t="s">
        <v>71</v>
      </c>
      <c r="E30" s="97"/>
      <c r="F30" s="97"/>
      <c r="G30" s="97"/>
      <c r="H30" s="97"/>
      <c r="I30" s="97"/>
      <c r="J30" s="97"/>
      <c r="K30" s="97"/>
      <c r="L30" s="97"/>
      <c r="M30" s="97"/>
      <c r="N30" s="96"/>
    </row>
    <row r="31" spans="2:22" ht="21.9" customHeight="1" x14ac:dyDescent="0.55000000000000004">
      <c r="B31" s="36" t="s">
        <v>21</v>
      </c>
      <c r="D31" s="83" t="s">
        <v>72</v>
      </c>
      <c r="E31" s="97"/>
      <c r="F31" s="97"/>
      <c r="G31" s="97"/>
      <c r="H31" s="97"/>
      <c r="I31" s="97"/>
      <c r="J31" s="97"/>
      <c r="K31" s="97"/>
      <c r="L31" s="97"/>
      <c r="M31" s="97"/>
      <c r="N31" s="96"/>
    </row>
    <row r="32" spans="2:22" x14ac:dyDescent="0.55000000000000004">
      <c r="B32" s="36" t="s">
        <v>23</v>
      </c>
      <c r="D32" s="83"/>
      <c r="E32" s="97"/>
      <c r="F32" s="97"/>
      <c r="G32" s="97"/>
      <c r="H32" s="97"/>
      <c r="I32" s="97"/>
      <c r="J32" s="97"/>
      <c r="K32" s="97"/>
      <c r="L32" s="97"/>
      <c r="M32" s="97"/>
      <c r="N32" s="96"/>
    </row>
    <row r="33" spans="2:14" ht="22.5" customHeight="1" x14ac:dyDescent="0.55000000000000004">
      <c r="B33" s="36" t="s">
        <v>20</v>
      </c>
      <c r="D33" s="83" t="s">
        <v>73</v>
      </c>
      <c r="E33" s="97"/>
      <c r="F33" s="97"/>
      <c r="G33" s="97"/>
      <c r="H33" s="97"/>
      <c r="I33" s="97"/>
      <c r="J33" s="97"/>
      <c r="K33" s="97"/>
      <c r="L33" s="97"/>
      <c r="M33" s="97"/>
      <c r="N33" s="96"/>
    </row>
    <row r="34" spans="2:14" ht="41.1" customHeight="1" x14ac:dyDescent="0.55000000000000004">
      <c r="B34" s="36"/>
      <c r="D34" s="83" t="s">
        <v>81</v>
      </c>
      <c r="E34" s="97"/>
      <c r="F34" s="97"/>
      <c r="G34" s="97"/>
      <c r="H34" s="97"/>
      <c r="I34" s="97"/>
      <c r="J34" s="97"/>
      <c r="K34" s="97"/>
      <c r="L34" s="97"/>
      <c r="M34" s="97"/>
      <c r="N34" s="96"/>
    </row>
    <row r="35" spans="2:14" x14ac:dyDescent="0.55000000000000004">
      <c r="B35" s="36"/>
      <c r="D35" s="83" t="s">
        <v>29</v>
      </c>
      <c r="E35" s="97"/>
      <c r="F35" s="97"/>
      <c r="G35" s="97"/>
      <c r="H35" s="97"/>
      <c r="I35" s="97"/>
      <c r="J35" s="97"/>
      <c r="K35" s="97"/>
      <c r="L35" s="97"/>
      <c r="M35" s="97"/>
      <c r="N35" s="96"/>
    </row>
    <row r="36" spans="2:14" x14ac:dyDescent="0.55000000000000004">
      <c r="B36" s="36"/>
    </row>
    <row r="37" spans="2:14" ht="35.1" customHeight="1" x14ac:dyDescent="0.55000000000000004">
      <c r="B37" s="36" t="s">
        <v>28</v>
      </c>
      <c r="D37" s="83" t="s">
        <v>75</v>
      </c>
      <c r="E37" s="97"/>
      <c r="F37" s="97"/>
      <c r="G37" s="97"/>
      <c r="H37" s="97"/>
      <c r="I37" s="97"/>
      <c r="J37" s="97"/>
      <c r="K37" s="97"/>
      <c r="L37" s="97"/>
      <c r="M37" s="97"/>
      <c r="N37" s="96"/>
    </row>
    <row r="38" spans="2:14" ht="96.3" customHeight="1" x14ac:dyDescent="0.55000000000000004">
      <c r="D38" s="83" t="s">
        <v>76</v>
      </c>
      <c r="E38" s="97"/>
      <c r="F38" s="97"/>
      <c r="G38" s="97"/>
      <c r="H38" s="97"/>
      <c r="I38" s="97"/>
      <c r="J38" s="97"/>
      <c r="K38" s="97"/>
      <c r="L38" s="97"/>
      <c r="M38" s="97"/>
      <c r="N38" s="96"/>
    </row>
    <row r="39" spans="2:14" x14ac:dyDescent="0.55000000000000004">
      <c r="D39" s="83"/>
      <c r="E39" s="97"/>
      <c r="F39" s="97"/>
      <c r="G39" s="97"/>
      <c r="H39" s="97"/>
      <c r="I39" s="97"/>
      <c r="J39" s="97"/>
      <c r="K39" s="97"/>
      <c r="L39" s="97"/>
      <c r="M39" s="97"/>
      <c r="N39" s="96"/>
    </row>
    <row r="40" spans="2:14" s="1" customFormat="1" ht="28.8" customHeight="1" x14ac:dyDescent="0.55000000000000004">
      <c r="B40" s="1" t="s">
        <v>57</v>
      </c>
    </row>
    <row r="44" spans="2:14" s="1" customFormat="1" ht="86.4" customHeight="1" x14ac:dyDescent="0.55000000000000004">
      <c r="B44" s="1" t="s">
        <v>40</v>
      </c>
      <c r="D44" t="s">
        <v>77</v>
      </c>
    </row>
  </sheetData>
  <mergeCells count="13">
    <mergeCell ref="D38:N38"/>
    <mergeCell ref="D32:N32"/>
    <mergeCell ref="D31:N31"/>
    <mergeCell ref="D35:N35"/>
    <mergeCell ref="D39:N39"/>
    <mergeCell ref="B3:B4"/>
    <mergeCell ref="C3:C4"/>
    <mergeCell ref="N3:N4"/>
    <mergeCell ref="D30:N30"/>
    <mergeCell ref="D34:N34"/>
    <mergeCell ref="D33:N33"/>
    <mergeCell ref="D3:D4"/>
    <mergeCell ref="D37:N37"/>
  </mergeCells>
  <pageMargins left="0.7" right="0.7" top="0.75" bottom="0.75" header="0.3" footer="0.3"/>
  <pageSetup paperSize="9" scale="45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9D6D-038B-4B7F-94A9-A2173E1D100A}">
  <sheetPr>
    <tabColor rgb="FF00B050"/>
  </sheetPr>
  <dimension ref="B2:V44"/>
  <sheetViews>
    <sheetView showWhiteSpace="0" zoomScale="70" zoomScaleNormal="70" zoomScaleSheetLayoutView="70" zoomScalePageLayoutView="67" workbookViewId="0">
      <selection activeCell="D20" sqref="D20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4620</v>
      </c>
      <c r="F5" s="2">
        <f>F6+F13+F17+F20</f>
        <v>605</v>
      </c>
      <c r="G5" s="7">
        <f>F5/E5</f>
        <v>0.13095238095238096</v>
      </c>
      <c r="H5" s="6">
        <f>H6+H13+H17+H20</f>
        <v>6220</v>
      </c>
      <c r="I5" s="2">
        <f>I6+I13+I17+I20</f>
        <v>855</v>
      </c>
      <c r="J5" s="14">
        <f t="shared" ref="J5:J11" si="0">I5/H5</f>
        <v>0.13745980707395497</v>
      </c>
      <c r="K5" s="64">
        <f>H5-E5</f>
        <v>1600</v>
      </c>
      <c r="L5" s="66">
        <f>I5-F5</f>
        <v>250</v>
      </c>
      <c r="M5" s="29">
        <f>J5-G5</f>
        <v>6.5074261215740115E-3</v>
      </c>
      <c r="N5" s="72">
        <f t="shared" ref="N5:N11" si="1">I5-H5*G5</f>
        <v>40.476190476190482</v>
      </c>
      <c r="O5" s="76"/>
      <c r="P5" s="37">
        <f>P6+P13+P17+P20</f>
        <v>1</v>
      </c>
      <c r="Q5" s="37">
        <f>Q6+Q13+Q17+Q20</f>
        <v>1</v>
      </c>
      <c r="R5" s="40">
        <f>Q5-P5</f>
        <v>0</v>
      </c>
      <c r="T5" s="37"/>
      <c r="U5" s="37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620</v>
      </c>
      <c r="F6" s="2">
        <f>SUMIF($C7:$C$19,$C6,F7:F$19)</f>
        <v>85</v>
      </c>
      <c r="G6" s="7">
        <f>F6/E6</f>
        <v>0.13709677419354838</v>
      </c>
      <c r="H6" s="6">
        <f>SUMIF($C7:$C$19,$C6,H7:H$19)</f>
        <v>1120</v>
      </c>
      <c r="I6" s="2">
        <f>SUMIF($C7:$C$19,$C6,I7:I$19)</f>
        <v>285</v>
      </c>
      <c r="J6" s="50">
        <f t="shared" si="0"/>
        <v>0.2544642857142857</v>
      </c>
      <c r="K6" s="6">
        <f t="shared" ref="K6:M21" si="2">H6-E6</f>
        <v>500</v>
      </c>
      <c r="L6" s="2">
        <f t="shared" si="2"/>
        <v>200</v>
      </c>
      <c r="M6" s="29">
        <f t="shared" si="2"/>
        <v>0.11736751152073732</v>
      </c>
      <c r="N6" s="72">
        <f t="shared" si="1"/>
        <v>131.45161290322582</v>
      </c>
      <c r="O6" s="76"/>
      <c r="P6" s="37">
        <f>E6/$E$5</f>
        <v>0.13419913419913421</v>
      </c>
      <c r="Q6" s="73">
        <f>H6/$H$5</f>
        <v>0.18006430868167203</v>
      </c>
      <c r="R6" s="40">
        <f>Q6-P6</f>
        <v>4.5865174482537824E-2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2"/>
        <v>0</v>
      </c>
      <c r="M7" s="69">
        <f t="shared" si="2"/>
        <v>0</v>
      </c>
      <c r="N7" s="34">
        <f t="shared" si="1"/>
        <v>0</v>
      </c>
      <c r="O7" s="76">
        <f t="shared" ref="O7:O11" si="3">IF(N7&gt;0,1,2)</f>
        <v>2</v>
      </c>
      <c r="P7" s="8"/>
      <c r="Q7" s="8"/>
      <c r="R7" s="19"/>
      <c r="T7" s="38">
        <f>E7/$E$6</f>
        <v>0.16129032258064516</v>
      </c>
      <c r="U7" s="38">
        <f>H7/$H$6</f>
        <v>8.9285714285714288E-2</v>
      </c>
      <c r="V7" s="52">
        <f t="shared" ref="V7:V19" si="4">U7-T7</f>
        <v>-7.2004608294930869E-2</v>
      </c>
    </row>
    <row r="8" spans="2:22" x14ac:dyDescent="0.55000000000000004">
      <c r="B8" s="8"/>
      <c r="C8" t="s">
        <v>31</v>
      </c>
      <c r="D8" s="23" t="s">
        <v>85</v>
      </c>
      <c r="E8" s="8"/>
      <c r="G8" s="9"/>
      <c r="H8" s="8">
        <v>500</v>
      </c>
      <c r="I8" s="1">
        <v>200</v>
      </c>
      <c r="J8" s="15">
        <f t="shared" si="0"/>
        <v>0.4</v>
      </c>
      <c r="K8" s="49">
        <f t="shared" si="2"/>
        <v>500</v>
      </c>
      <c r="L8" s="65">
        <f t="shared" si="2"/>
        <v>200</v>
      </c>
      <c r="M8" s="69">
        <f t="shared" si="2"/>
        <v>0.4</v>
      </c>
      <c r="N8" s="71">
        <f t="shared" si="1"/>
        <v>200</v>
      </c>
      <c r="O8" s="76">
        <f t="shared" si="3"/>
        <v>1</v>
      </c>
      <c r="P8" s="8"/>
      <c r="Q8" s="8"/>
      <c r="R8" s="19"/>
      <c r="T8" s="38">
        <f t="shared" ref="T8:T12" si="5">E8/$E$6</f>
        <v>0</v>
      </c>
      <c r="U8" s="38">
        <f t="shared" ref="U8:U12" si="6">H8/$H$6</f>
        <v>0.44642857142857145</v>
      </c>
      <c r="V8" s="52">
        <f t="shared" si="4"/>
        <v>0.44642857142857145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1">
        <v>5</v>
      </c>
      <c r="G9" s="9">
        <f t="shared" ref="G9:G11" si="7">F9/E9</f>
        <v>0.125</v>
      </c>
      <c r="H9" s="8">
        <v>40</v>
      </c>
      <c r="I9" s="1">
        <v>5</v>
      </c>
      <c r="J9" s="9">
        <f t="shared" si="0"/>
        <v>0.125</v>
      </c>
      <c r="K9" s="8">
        <f t="shared" si="2"/>
        <v>0</v>
      </c>
      <c r="L9" s="1">
        <f t="shared" si="2"/>
        <v>0</v>
      </c>
      <c r="M9" s="69">
        <f t="shared" si="2"/>
        <v>0</v>
      </c>
      <c r="N9" s="34">
        <f t="shared" si="1"/>
        <v>0</v>
      </c>
      <c r="O9" s="76">
        <f t="shared" si="3"/>
        <v>2</v>
      </c>
      <c r="P9" s="8"/>
      <c r="Q9" s="8"/>
      <c r="R9" s="19"/>
      <c r="T9" s="38">
        <f t="shared" si="5"/>
        <v>6.4516129032258063E-2</v>
      </c>
      <c r="U9" s="38">
        <f t="shared" si="6"/>
        <v>3.5714285714285712E-2</v>
      </c>
      <c r="V9" s="52">
        <f t="shared" si="4"/>
        <v>-2.880184331797235E-2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7"/>
        <v>0.5</v>
      </c>
      <c r="H10" s="8">
        <v>80</v>
      </c>
      <c r="I10" s="1">
        <v>40</v>
      </c>
      <c r="J10" s="15">
        <f t="shared" si="0"/>
        <v>0.5</v>
      </c>
      <c r="K10" s="8">
        <f t="shared" si="2"/>
        <v>0</v>
      </c>
      <c r="L10" s="1">
        <f t="shared" si="2"/>
        <v>0</v>
      </c>
      <c r="M10" s="69">
        <f t="shared" si="2"/>
        <v>0</v>
      </c>
      <c r="N10" s="34">
        <f t="shared" si="1"/>
        <v>0</v>
      </c>
      <c r="O10" s="76">
        <f t="shared" si="3"/>
        <v>2</v>
      </c>
      <c r="P10" s="8"/>
      <c r="Q10" s="8"/>
      <c r="R10" s="19"/>
      <c r="T10" s="38">
        <f t="shared" si="5"/>
        <v>0.12903225806451613</v>
      </c>
      <c r="U10" s="38">
        <f t="shared" si="6"/>
        <v>7.1428571428571425E-2</v>
      </c>
      <c r="V10" s="52">
        <f t="shared" si="4"/>
        <v>-5.7603686635944701E-2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7"/>
        <v>0.05</v>
      </c>
      <c r="H11" s="8">
        <v>400</v>
      </c>
      <c r="I11" s="1">
        <v>20</v>
      </c>
      <c r="J11" s="9">
        <f t="shared" si="0"/>
        <v>0.05</v>
      </c>
      <c r="K11" s="49">
        <f t="shared" si="2"/>
        <v>0</v>
      </c>
      <c r="L11" s="65">
        <f t="shared" si="2"/>
        <v>0</v>
      </c>
      <c r="M11" s="69">
        <f t="shared" si="2"/>
        <v>0</v>
      </c>
      <c r="N11" s="34">
        <f t="shared" si="1"/>
        <v>0</v>
      </c>
      <c r="O11" s="76">
        <f t="shared" si="3"/>
        <v>2</v>
      </c>
      <c r="P11" s="8"/>
      <c r="Q11" s="8"/>
      <c r="R11" s="19"/>
      <c r="T11" s="38">
        <f t="shared" si="5"/>
        <v>0.64516129032258063</v>
      </c>
      <c r="U11" s="38">
        <f t="shared" si="6"/>
        <v>0.35714285714285715</v>
      </c>
      <c r="V11" s="52">
        <f t="shared" si="4"/>
        <v>-0.28801843317972348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2"/>
        <v>0</v>
      </c>
      <c r="M12" s="70">
        <f t="shared" si="2"/>
        <v>0</v>
      </c>
      <c r="N12" s="46">
        <f>N6-SUM(N7:N11)</f>
        <v>-68.548387096774178</v>
      </c>
      <c r="O12" s="76"/>
      <c r="P12" s="8"/>
      <c r="Q12" s="8"/>
      <c r="R12" s="19"/>
      <c r="T12" s="38">
        <f t="shared" si="5"/>
        <v>0</v>
      </c>
      <c r="U12" s="38">
        <f t="shared" si="6"/>
        <v>0</v>
      </c>
      <c r="V12" s="52">
        <f t="shared" si="4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4700</v>
      </c>
      <c r="I13" s="2">
        <f>SUMIF($C14:$C$19,$C13,I14:I$19)</f>
        <v>470</v>
      </c>
      <c r="J13" s="14">
        <f>I13/H13</f>
        <v>0.1</v>
      </c>
      <c r="K13" s="6">
        <f t="shared" si="2"/>
        <v>1100</v>
      </c>
      <c r="L13" s="2">
        <f t="shared" si="2"/>
        <v>50</v>
      </c>
      <c r="M13" s="29">
        <f t="shared" si="2"/>
        <v>-1.6666666666666663E-2</v>
      </c>
      <c r="N13" s="67">
        <f>I13-H13*G13</f>
        <v>-78.333333333333371</v>
      </c>
      <c r="O13" s="76"/>
      <c r="P13" s="37">
        <f>E13/$E$5</f>
        <v>0.77922077922077926</v>
      </c>
      <c r="Q13" s="73">
        <f>H13/$H$5</f>
        <v>0.75562700964630225</v>
      </c>
      <c r="R13" s="40">
        <f>Q13-P13</f>
        <v>-2.3593769574477008E-2</v>
      </c>
      <c r="T13" s="37">
        <f>SUMIF($C14:$C$19,$C13,T14:T$19)</f>
        <v>1</v>
      </c>
      <c r="U13" s="37">
        <f>SUMIF($C14:$C$19,$C13,U14:U$19)</f>
        <v>1</v>
      </c>
      <c r="V13" s="40">
        <f t="shared" si="4"/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9">
        <f t="shared" ref="G14:G15" si="8">F14/E14</f>
        <v>0.1</v>
      </c>
      <c r="H14" s="8">
        <v>4000</v>
      </c>
      <c r="I14" s="1">
        <v>350</v>
      </c>
      <c r="J14" s="15">
        <f t="shared" ref="J14:J15" si="9">I14/H14</f>
        <v>8.7499999999999994E-2</v>
      </c>
      <c r="K14" s="8">
        <f t="shared" si="2"/>
        <v>1000</v>
      </c>
      <c r="L14" s="65">
        <f t="shared" si="2"/>
        <v>50</v>
      </c>
      <c r="M14" s="31">
        <f t="shared" si="2"/>
        <v>-1.2500000000000011E-2</v>
      </c>
      <c r="N14" s="46">
        <f>I14-H14*G14</f>
        <v>-50</v>
      </c>
      <c r="O14" s="76">
        <f t="shared" ref="O14:O15" si="10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0.85106382978723405</v>
      </c>
      <c r="V14" s="52">
        <f t="shared" si="4"/>
        <v>1.7730496453900679E-2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9">
        <f t="shared" si="8"/>
        <v>0.2</v>
      </c>
      <c r="H15" s="8">
        <v>700</v>
      </c>
      <c r="I15" s="1">
        <v>120</v>
      </c>
      <c r="J15" s="15">
        <f t="shared" si="9"/>
        <v>0.17142857142857143</v>
      </c>
      <c r="K15" s="8">
        <f t="shared" si="2"/>
        <v>100</v>
      </c>
      <c r="L15" s="1">
        <f t="shared" si="2"/>
        <v>0</v>
      </c>
      <c r="M15" s="31">
        <f t="shared" si="2"/>
        <v>-2.8571428571428581E-2</v>
      </c>
      <c r="N15" s="46">
        <f>I15-H15*G15</f>
        <v>-20</v>
      </c>
      <c r="O15" s="76">
        <f t="shared" si="10"/>
        <v>2</v>
      </c>
      <c r="P15" s="8"/>
      <c r="Q15" s="8"/>
      <c r="R15" s="19"/>
      <c r="T15" s="38">
        <f t="shared" ref="T15:T16" si="11">E15/$E$13</f>
        <v>0.16666666666666666</v>
      </c>
      <c r="U15" s="38">
        <f t="shared" ref="U15:U16" si="12">H15/$H$13</f>
        <v>0.14893617021276595</v>
      </c>
      <c r="V15" s="52">
        <f t="shared" si="4"/>
        <v>-1.7730496453900707E-2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2"/>
        <v>0</v>
      </c>
      <c r="M16" s="32">
        <f t="shared" si="2"/>
        <v>0</v>
      </c>
      <c r="N16" s="46">
        <f>N13-SUM(N14:N15)</f>
        <v>-8.3333333333333712</v>
      </c>
      <c r="O16" s="76"/>
      <c r="P16" s="8"/>
      <c r="Q16" s="8"/>
      <c r="R16" s="19"/>
      <c r="T16" s="38">
        <f t="shared" si="11"/>
        <v>0</v>
      </c>
      <c r="U16" s="38">
        <f t="shared" si="12"/>
        <v>0</v>
      </c>
      <c r="V16" s="52">
        <f t="shared" si="4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2"/>
        <v>0</v>
      </c>
      <c r="M17" s="29">
        <f t="shared" si="2"/>
        <v>0</v>
      </c>
      <c r="N17" s="33">
        <f>I17-H17*G17</f>
        <v>0</v>
      </c>
      <c r="O17" s="76"/>
      <c r="P17" s="37">
        <f>E17/$E$5</f>
        <v>8.6580086580086577E-2</v>
      </c>
      <c r="Q17" s="37">
        <f>H17/$H$5</f>
        <v>6.4308681672025719E-2</v>
      </c>
      <c r="R17" s="40">
        <f>Q17-P17</f>
        <v>-2.2271404908060857E-2</v>
      </c>
      <c r="T17" s="37">
        <f>SUMIF($C18:$C$19,$C17,T18:T$19)</f>
        <v>0</v>
      </c>
      <c r="U17" s="37">
        <f>SUMIF($C18:$C$19,$C17,U18:U$19)</f>
        <v>0</v>
      </c>
      <c r="V17" s="40">
        <f t="shared" si="4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3">F18/E18</f>
        <v>0.5</v>
      </c>
      <c r="H18" s="8">
        <v>400</v>
      </c>
      <c r="I18" s="1">
        <v>200</v>
      </c>
      <c r="J18" s="15">
        <f t="shared" ref="J18" si="14">I18/H18</f>
        <v>0.5</v>
      </c>
      <c r="K18" s="8">
        <f t="shared" si="2"/>
        <v>0</v>
      </c>
      <c r="L18" s="1">
        <f t="shared" si="2"/>
        <v>0</v>
      </c>
      <c r="M18" s="31">
        <f t="shared" si="2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4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2"/>
        <v>0</v>
      </c>
      <c r="M19" s="32">
        <f t="shared" si="2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4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7"/>
      <c r="H20" s="6"/>
      <c r="I20" s="2">
        <v>-100</v>
      </c>
      <c r="J20" s="14"/>
      <c r="K20" s="6"/>
      <c r="L20" s="2">
        <f t="shared" si="2"/>
        <v>0</v>
      </c>
      <c r="M20" s="29">
        <f t="shared" si="2"/>
        <v>0</v>
      </c>
      <c r="N20" s="33">
        <f>I20-F20</f>
        <v>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2"/>
        <v>0</v>
      </c>
      <c r="N21" s="68">
        <f>N5-N6-N13-N17-N20</f>
        <v>-12.642089093701969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8" t="s">
        <v>92</v>
      </c>
      <c r="E23" s="80">
        <f>N5</f>
        <v>40.476190476190482</v>
      </c>
    </row>
    <row r="24" spans="2:22" ht="18.3" x14ac:dyDescent="0.65">
      <c r="D24" s="77" t="s">
        <v>90</v>
      </c>
      <c r="E24" s="81">
        <f>SUMIF(O7:O20,1,N7:N20)</f>
        <v>200</v>
      </c>
    </row>
    <row r="25" spans="2:22" ht="18.3" x14ac:dyDescent="0.65">
      <c r="D25" s="77" t="s">
        <v>91</v>
      </c>
      <c r="E25" s="81">
        <f>SUMIF(O7:O20,2,N7:N20)</f>
        <v>-70</v>
      </c>
    </row>
    <row r="26" spans="2:22" ht="18.3" x14ac:dyDescent="0.65">
      <c r="D26" s="77" t="s">
        <v>88</v>
      </c>
      <c r="E26" s="81">
        <f>N21</f>
        <v>-12.642089093701969</v>
      </c>
    </row>
    <row r="27" spans="2:22" ht="18.3" x14ac:dyDescent="0.65">
      <c r="D27" s="77" t="s">
        <v>89</v>
      </c>
      <c r="E27" s="81">
        <f>N12+N16+N19</f>
        <v>-76.881720430107549</v>
      </c>
    </row>
    <row r="29" spans="2:22" x14ac:dyDescent="0.55000000000000004">
      <c r="B29" s="1" t="s">
        <v>70</v>
      </c>
    </row>
    <row r="30" spans="2:22" ht="24" customHeight="1" x14ac:dyDescent="0.55000000000000004">
      <c r="B30" s="36" t="s">
        <v>20</v>
      </c>
      <c r="D30" s="83" t="s">
        <v>71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ht="21.9" customHeight="1" x14ac:dyDescent="0.55000000000000004">
      <c r="B31" s="36" t="s">
        <v>21</v>
      </c>
      <c r="D31" s="83" t="s">
        <v>72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55000000000000004">
      <c r="B32" s="36" t="s">
        <v>23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9" ht="22.5" customHeight="1" x14ac:dyDescent="0.55000000000000004">
      <c r="B33" s="36" t="s">
        <v>20</v>
      </c>
      <c r="D33" s="83" t="s">
        <v>73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9" ht="41.1" customHeight="1" x14ac:dyDescent="0.55000000000000004">
      <c r="B34" s="36"/>
      <c r="D34" s="83" t="s">
        <v>81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9" x14ac:dyDescent="0.55000000000000004">
      <c r="B35" s="36"/>
      <c r="D35" s="83" t="s">
        <v>29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9" x14ac:dyDescent="0.55000000000000004">
      <c r="B36" s="36"/>
    </row>
    <row r="37" spans="2:19" ht="35.1" customHeight="1" x14ac:dyDescent="0.55000000000000004">
      <c r="B37" s="36" t="s">
        <v>28</v>
      </c>
      <c r="D37" s="83" t="s">
        <v>75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9" ht="96.3" customHeight="1" x14ac:dyDescent="0.55000000000000004">
      <c r="D38" s="83" t="s">
        <v>76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9" x14ac:dyDescent="0.55000000000000004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2:19" s="1" customFormat="1" ht="28.8" x14ac:dyDescent="0.55000000000000004">
      <c r="B40" s="1" t="s">
        <v>57</v>
      </c>
      <c r="C40"/>
      <c r="D40"/>
      <c r="N40"/>
      <c r="O40"/>
      <c r="S40"/>
    </row>
    <row r="44" spans="2:19" s="1" customFormat="1" ht="86.4" x14ac:dyDescent="0.55000000000000004">
      <c r="B44" s="1" t="s">
        <v>40</v>
      </c>
      <c r="C44"/>
      <c r="D44" t="s">
        <v>77</v>
      </c>
      <c r="N44"/>
      <c r="O44"/>
      <c r="S44"/>
    </row>
  </sheetData>
  <mergeCells count="13">
    <mergeCell ref="D34:N34"/>
    <mergeCell ref="D35:N35"/>
    <mergeCell ref="D39:N39"/>
    <mergeCell ref="B3:B4"/>
    <mergeCell ref="C3:C4"/>
    <mergeCell ref="D3:D4"/>
    <mergeCell ref="N3:N4"/>
    <mergeCell ref="D38:N38"/>
    <mergeCell ref="D37:N37"/>
    <mergeCell ref="D30:N30"/>
    <mergeCell ref="D31:N31"/>
    <mergeCell ref="D32:N32"/>
    <mergeCell ref="D33:N33"/>
  </mergeCells>
  <pageMargins left="0.7" right="0.7" top="0.75" bottom="0.75" header="0.3" footer="0.3"/>
  <pageSetup paperSize="9" scale="4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45"/>
  <sheetViews>
    <sheetView zoomScale="70" zoomScaleNormal="70" zoomScaleSheetLayoutView="70" zoomScalePageLayoutView="67" workbookViewId="0">
      <selection activeCell="H27" sqref="H27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ht="15.6" customHeight="1" x14ac:dyDescent="0.55000000000000004">
      <c r="B5" s="6">
        <v>1</v>
      </c>
      <c r="C5" s="21" t="s">
        <v>13</v>
      </c>
      <c r="D5" s="22" t="s">
        <v>14</v>
      </c>
      <c r="E5" s="6">
        <f>E6+E13+E17+E20</f>
        <v>5120</v>
      </c>
      <c r="F5" s="2">
        <f>F6+F13+F17+F20</f>
        <v>805</v>
      </c>
      <c r="G5" s="41">
        <f>F5/E5</f>
        <v>0.1572265625</v>
      </c>
      <c r="H5" s="6">
        <f>H6+H13+H17+H20</f>
        <v>8720</v>
      </c>
      <c r="I5" s="2">
        <f>I6+I13+I17+I20</f>
        <v>1225</v>
      </c>
      <c r="J5" s="42">
        <f t="shared" ref="J5:J6" si="0">I5/H5</f>
        <v>0.14048165137614679</v>
      </c>
      <c r="K5" s="6">
        <f>H5-E5</f>
        <v>3600</v>
      </c>
      <c r="L5" s="2">
        <f>I5-F5</f>
        <v>420</v>
      </c>
      <c r="M5" s="29">
        <f>J5-G5</f>
        <v>-1.6744911123853207E-2</v>
      </c>
      <c r="N5" s="33">
        <f t="shared" ref="N5:N11" si="1">I5-H5*G5</f>
        <v>-146.015625</v>
      </c>
      <c r="O5" s="76"/>
      <c r="P5" s="37">
        <f>P6+P13+P17+P20</f>
        <v>1</v>
      </c>
      <c r="Q5" s="37">
        <f>Q6+Q13+Q17+Q20</f>
        <v>1</v>
      </c>
      <c r="R5" s="40">
        <f>Q5-P5</f>
        <v>0</v>
      </c>
      <c r="T5" s="6"/>
      <c r="U5" s="6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1120</v>
      </c>
      <c r="F6" s="2">
        <f>SUMIF($C7:$C$19,$C6,F7:F$19)</f>
        <v>285</v>
      </c>
      <c r="G6" s="7">
        <f>F6/E6</f>
        <v>0.2544642857142857</v>
      </c>
      <c r="H6" s="6">
        <f>SUMIF($C7:$C$19,$C6,H7:H$19)</f>
        <v>1120</v>
      </c>
      <c r="I6" s="2">
        <f>SUMIF($C7:$C$19,$C6,I7:I$19)</f>
        <v>285</v>
      </c>
      <c r="J6" s="14">
        <f t="shared" si="0"/>
        <v>0.2544642857142857</v>
      </c>
      <c r="K6" s="6">
        <f t="shared" ref="K6:K19" si="2">H6-E6</f>
        <v>0</v>
      </c>
      <c r="L6" s="2">
        <f t="shared" ref="L6:L20" si="3">I6-F6</f>
        <v>0</v>
      </c>
      <c r="M6" s="29">
        <f t="shared" ref="M6:M21" si="4">J6-G6</f>
        <v>0</v>
      </c>
      <c r="N6" s="33">
        <f t="shared" si="1"/>
        <v>0</v>
      </c>
      <c r="O6" s="76"/>
      <c r="P6" s="37">
        <f>E6/$E$5</f>
        <v>0.21875</v>
      </c>
      <c r="Q6" s="37">
        <f>H6/$H$5</f>
        <v>0.12844036697247707</v>
      </c>
      <c r="R6" s="40">
        <f>Q6-P6</f>
        <v>-9.0309633027522929E-2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3"/>
        <v>0</v>
      </c>
      <c r="M7" s="31">
        <f t="shared" si="4"/>
        <v>0</v>
      </c>
      <c r="N7" s="34">
        <f t="shared" si="1"/>
        <v>0</v>
      </c>
      <c r="O7" s="76">
        <f t="shared" ref="O7:O11" si="5">IF(N7&gt;0,1,2)</f>
        <v>2</v>
      </c>
      <c r="P7" s="8"/>
      <c r="Q7" s="8"/>
      <c r="R7" s="19"/>
      <c r="T7" s="38">
        <f>E7/$E$6</f>
        <v>8.9285714285714288E-2</v>
      </c>
      <c r="U7" s="38">
        <f>H7/$H$6</f>
        <v>8.9285714285714288E-2</v>
      </c>
      <c r="V7" s="52">
        <f t="shared" ref="V7:V19" si="6">U7-T7</f>
        <v>0</v>
      </c>
    </row>
    <row r="8" spans="2:22" x14ac:dyDescent="0.55000000000000004">
      <c r="B8" s="8"/>
      <c r="C8" t="s">
        <v>31</v>
      </c>
      <c r="D8" s="23" t="s">
        <v>1</v>
      </c>
      <c r="E8" s="8">
        <v>500</v>
      </c>
      <c r="F8" s="1">
        <v>200</v>
      </c>
      <c r="G8" s="9">
        <f t="shared" ref="G8:G11" si="7">F8/E8</f>
        <v>0.4</v>
      </c>
      <c r="H8" s="8">
        <v>500</v>
      </c>
      <c r="I8" s="1">
        <v>200</v>
      </c>
      <c r="J8" s="15">
        <f t="shared" ref="J8:J11" si="8">I8/H8</f>
        <v>0.4</v>
      </c>
      <c r="K8" s="8">
        <f t="shared" si="2"/>
        <v>0</v>
      </c>
      <c r="L8" s="1">
        <f t="shared" si="3"/>
        <v>0</v>
      </c>
      <c r="M8" s="31">
        <f t="shared" si="4"/>
        <v>0</v>
      </c>
      <c r="N8" s="34">
        <f t="shared" si="1"/>
        <v>0</v>
      </c>
      <c r="O8" s="76">
        <f t="shared" si="5"/>
        <v>2</v>
      </c>
      <c r="P8" s="8"/>
      <c r="Q8" s="8"/>
      <c r="R8" s="19"/>
      <c r="T8" s="38">
        <f t="shared" ref="T8:T12" si="9">E8/$E$6</f>
        <v>0.44642857142857145</v>
      </c>
      <c r="U8" s="38">
        <f t="shared" ref="U8:U12" si="10">H8/$H$6</f>
        <v>0.44642857142857145</v>
      </c>
      <c r="V8" s="52">
        <f t="shared" si="6"/>
        <v>0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1">
        <v>5</v>
      </c>
      <c r="G9" s="9">
        <f t="shared" si="7"/>
        <v>0.125</v>
      </c>
      <c r="H9" s="8">
        <v>40</v>
      </c>
      <c r="I9" s="1">
        <v>5</v>
      </c>
      <c r="J9" s="9">
        <f t="shared" si="8"/>
        <v>0.125</v>
      </c>
      <c r="K9" s="8">
        <f t="shared" si="2"/>
        <v>0</v>
      </c>
      <c r="L9" s="1">
        <f t="shared" si="3"/>
        <v>0</v>
      </c>
      <c r="M9" s="31">
        <f t="shared" si="4"/>
        <v>0</v>
      </c>
      <c r="N9" s="34">
        <f t="shared" si="1"/>
        <v>0</v>
      </c>
      <c r="O9" s="76">
        <f t="shared" si="5"/>
        <v>2</v>
      </c>
      <c r="P9" s="8"/>
      <c r="Q9" s="8"/>
      <c r="R9" s="19"/>
      <c r="T9" s="38">
        <f t="shared" si="9"/>
        <v>3.5714285714285712E-2</v>
      </c>
      <c r="U9" s="38">
        <f t="shared" si="10"/>
        <v>3.5714285714285712E-2</v>
      </c>
      <c r="V9" s="52">
        <f t="shared" si="6"/>
        <v>0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7"/>
        <v>0.5</v>
      </c>
      <c r="H10" s="8">
        <v>80</v>
      </c>
      <c r="I10" s="1">
        <v>40</v>
      </c>
      <c r="J10" s="15">
        <f t="shared" si="8"/>
        <v>0.5</v>
      </c>
      <c r="K10" s="8">
        <f t="shared" si="2"/>
        <v>0</v>
      </c>
      <c r="L10" s="1">
        <f t="shared" si="3"/>
        <v>0</v>
      </c>
      <c r="M10" s="31">
        <f t="shared" si="4"/>
        <v>0</v>
      </c>
      <c r="N10" s="34">
        <f t="shared" si="1"/>
        <v>0</v>
      </c>
      <c r="O10" s="76">
        <f t="shared" si="5"/>
        <v>2</v>
      </c>
      <c r="P10" s="8"/>
      <c r="Q10" s="8"/>
      <c r="R10" s="19"/>
      <c r="T10" s="38">
        <f t="shared" si="9"/>
        <v>7.1428571428571425E-2</v>
      </c>
      <c r="U10" s="38">
        <f t="shared" si="10"/>
        <v>7.1428571428571425E-2</v>
      </c>
      <c r="V10" s="52">
        <f t="shared" si="6"/>
        <v>0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7"/>
        <v>0.05</v>
      </c>
      <c r="H11" s="8">
        <v>400</v>
      </c>
      <c r="I11" s="1">
        <v>20</v>
      </c>
      <c r="J11" s="15">
        <f t="shared" si="8"/>
        <v>0.05</v>
      </c>
      <c r="K11" s="8">
        <f t="shared" si="2"/>
        <v>0</v>
      </c>
      <c r="L11" s="1">
        <f t="shared" si="3"/>
        <v>0</v>
      </c>
      <c r="M11" s="31">
        <f t="shared" si="4"/>
        <v>0</v>
      </c>
      <c r="N11" s="34">
        <f t="shared" si="1"/>
        <v>0</v>
      </c>
      <c r="O11" s="76">
        <f t="shared" si="5"/>
        <v>2</v>
      </c>
      <c r="P11" s="8"/>
      <c r="Q11" s="8"/>
      <c r="R11" s="19"/>
      <c r="T11" s="38">
        <f t="shared" si="9"/>
        <v>0.35714285714285715</v>
      </c>
      <c r="U11" s="38">
        <f t="shared" si="10"/>
        <v>0.35714285714285715</v>
      </c>
      <c r="V11" s="52">
        <f t="shared" si="6"/>
        <v>0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3"/>
        <v>0</v>
      </c>
      <c r="M12" s="32">
        <f t="shared" si="4"/>
        <v>0</v>
      </c>
      <c r="N12" s="34">
        <f>N6-SUM(N7:N11)</f>
        <v>0</v>
      </c>
      <c r="O12" s="76"/>
      <c r="P12" s="8"/>
      <c r="Q12" s="8"/>
      <c r="R12" s="19"/>
      <c r="T12" s="38">
        <f t="shared" si="9"/>
        <v>0</v>
      </c>
      <c r="U12" s="38">
        <f t="shared" si="10"/>
        <v>0</v>
      </c>
      <c r="V12" s="52">
        <f t="shared" si="6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7200</v>
      </c>
      <c r="I13" s="2">
        <f>SUMIF($C14:$C$19,$C13,I14:I$19)</f>
        <v>840</v>
      </c>
      <c r="J13" s="14">
        <f>I13/H13</f>
        <v>0.11666666666666667</v>
      </c>
      <c r="K13" s="6">
        <f t="shared" si="2"/>
        <v>3600</v>
      </c>
      <c r="L13" s="2">
        <f t="shared" si="3"/>
        <v>420</v>
      </c>
      <c r="M13" s="29">
        <f t="shared" si="4"/>
        <v>0</v>
      </c>
      <c r="N13" s="33">
        <f>I13-H13*G13</f>
        <v>0</v>
      </c>
      <c r="O13" s="76"/>
      <c r="P13" s="48">
        <f>E13/$E$5</f>
        <v>0.703125</v>
      </c>
      <c r="Q13" s="48">
        <f>H13/$H$5</f>
        <v>0.82568807339449546</v>
      </c>
      <c r="R13" s="40">
        <f>Q13-P13</f>
        <v>0.12256307339449546</v>
      </c>
      <c r="T13" s="37">
        <f>SUMIF($C14:$C$19,$C13,T14:T$19)</f>
        <v>1</v>
      </c>
      <c r="U13" s="37">
        <f>SUMIF($C14:$C$19,$C13,U14:U$19)</f>
        <v>1</v>
      </c>
      <c r="V13" s="40">
        <f t="shared" si="6"/>
        <v>0</v>
      </c>
    </row>
    <row r="14" spans="2:22" x14ac:dyDescent="0.55000000000000004">
      <c r="B14" s="8"/>
      <c r="C14" t="s">
        <v>32</v>
      </c>
      <c r="D14" s="23" t="s">
        <v>5</v>
      </c>
      <c r="E14" s="49">
        <v>3000</v>
      </c>
      <c r="F14" s="1">
        <v>300</v>
      </c>
      <c r="G14" s="9">
        <f t="shared" ref="G14:G15" si="11">F14/E14</f>
        <v>0.1</v>
      </c>
      <c r="H14" s="49">
        <v>6000</v>
      </c>
      <c r="I14" s="1">
        <v>600</v>
      </c>
      <c r="J14" s="15">
        <f t="shared" ref="J14:J15" si="12">I14/H14</f>
        <v>0.1</v>
      </c>
      <c r="K14" s="8">
        <f t="shared" si="2"/>
        <v>3000</v>
      </c>
      <c r="L14" s="1">
        <f t="shared" si="3"/>
        <v>300</v>
      </c>
      <c r="M14" s="31">
        <f t="shared" si="4"/>
        <v>0</v>
      </c>
      <c r="N14" s="34">
        <f>I14-H14*G14</f>
        <v>0</v>
      </c>
      <c r="O14" s="76">
        <f t="shared" ref="O14:O15" si="13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0.83333333333333337</v>
      </c>
      <c r="V14" s="52">
        <f t="shared" si="6"/>
        <v>0</v>
      </c>
    </row>
    <row r="15" spans="2:22" x14ac:dyDescent="0.55000000000000004">
      <c r="B15" s="8"/>
      <c r="C15" t="s">
        <v>32</v>
      </c>
      <c r="D15" s="23" t="s">
        <v>6</v>
      </c>
      <c r="E15" s="49">
        <v>600</v>
      </c>
      <c r="F15" s="1">
        <v>120</v>
      </c>
      <c r="G15" s="9">
        <f t="shared" si="11"/>
        <v>0.2</v>
      </c>
      <c r="H15" s="49">
        <v>1200</v>
      </c>
      <c r="I15" s="1">
        <v>240</v>
      </c>
      <c r="J15" s="15">
        <f t="shared" si="12"/>
        <v>0.2</v>
      </c>
      <c r="K15" s="8">
        <f t="shared" si="2"/>
        <v>600</v>
      </c>
      <c r="L15" s="1">
        <f t="shared" si="3"/>
        <v>120</v>
      </c>
      <c r="M15" s="31">
        <f t="shared" si="4"/>
        <v>0</v>
      </c>
      <c r="N15" s="34">
        <f>I15-H15*G15</f>
        <v>0</v>
      </c>
      <c r="O15" s="76">
        <f t="shared" si="13"/>
        <v>2</v>
      </c>
      <c r="P15" s="8"/>
      <c r="Q15" s="8"/>
      <c r="R15" s="19"/>
      <c r="T15" s="38">
        <f t="shared" ref="T15:T16" si="14">E15/$E$13</f>
        <v>0.16666666666666666</v>
      </c>
      <c r="U15" s="38">
        <f t="shared" ref="U15:U16" si="15">H15/$H$13</f>
        <v>0.16666666666666666</v>
      </c>
      <c r="V15" s="52">
        <f t="shared" si="6"/>
        <v>0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3"/>
        <v>0</v>
      </c>
      <c r="M16" s="32">
        <f t="shared" si="4"/>
        <v>0</v>
      </c>
      <c r="N16" s="34">
        <f>N13-SUM(N14:N15)</f>
        <v>0</v>
      </c>
      <c r="O16" s="76"/>
      <c r="P16" s="8"/>
      <c r="Q16" s="8"/>
      <c r="R16" s="19"/>
      <c r="T16" s="38">
        <f t="shared" si="14"/>
        <v>0</v>
      </c>
      <c r="U16" s="38">
        <f t="shared" si="15"/>
        <v>0</v>
      </c>
      <c r="V16" s="52">
        <f t="shared" si="6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3"/>
        <v>0</v>
      </c>
      <c r="M17" s="29">
        <f t="shared" si="4"/>
        <v>0</v>
      </c>
      <c r="N17" s="33">
        <f>I17-H17*G17</f>
        <v>0</v>
      </c>
      <c r="O17" s="76"/>
      <c r="P17" s="37">
        <f>E17/$E$5</f>
        <v>7.8125E-2</v>
      </c>
      <c r="Q17" s="37">
        <f>H17/$H$5</f>
        <v>4.5871559633027525E-2</v>
      </c>
      <c r="R17" s="40">
        <f>Q17-P17</f>
        <v>-3.2253440366972475E-2</v>
      </c>
      <c r="T17" s="37">
        <f>SUMIF($C18:$C$19,$C17,T18:T$19)</f>
        <v>0</v>
      </c>
      <c r="U17" s="37">
        <f>SUMIF($C18:$C$19,$C17,U18:U$19)</f>
        <v>0</v>
      </c>
      <c r="V17" s="40">
        <f t="shared" si="6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6">F18/E18</f>
        <v>0.5</v>
      </c>
      <c r="H18" s="8">
        <v>400</v>
      </c>
      <c r="I18" s="1">
        <v>200</v>
      </c>
      <c r="J18" s="15">
        <f t="shared" ref="J18" si="17">I18/H18</f>
        <v>0.5</v>
      </c>
      <c r="K18" s="8">
        <f t="shared" si="2"/>
        <v>0</v>
      </c>
      <c r="L18" s="1">
        <f t="shared" si="3"/>
        <v>0</v>
      </c>
      <c r="M18" s="31">
        <f t="shared" si="4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6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3"/>
        <v>0</v>
      </c>
      <c r="M19" s="32">
        <f t="shared" si="4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6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7"/>
      <c r="H20" s="6"/>
      <c r="I20" s="2">
        <v>-100</v>
      </c>
      <c r="J20" s="14"/>
      <c r="K20" s="6"/>
      <c r="L20" s="2">
        <f t="shared" si="3"/>
        <v>0</v>
      </c>
      <c r="M20" s="29">
        <f t="shared" si="4"/>
        <v>0</v>
      </c>
      <c r="N20" s="33">
        <f>I20-F20</f>
        <v>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4"/>
        <v>0</v>
      </c>
      <c r="N21" s="35">
        <f>N5-N6-N13-N17-N20</f>
        <v>-146.015625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9" t="s">
        <v>92</v>
      </c>
      <c r="E23" s="82">
        <f>N5</f>
        <v>-146.015625</v>
      </c>
    </row>
    <row r="24" spans="2:22" ht="18.3" x14ac:dyDescent="0.65">
      <c r="D24" s="77" t="s">
        <v>90</v>
      </c>
      <c r="E24" s="81">
        <f>SUMIF(O7:O20,1,N7:N20)</f>
        <v>0</v>
      </c>
    </row>
    <row r="25" spans="2:22" ht="18.3" x14ac:dyDescent="0.65">
      <c r="D25" s="77" t="s">
        <v>91</v>
      </c>
      <c r="E25" s="81">
        <f>SUMIF(O7:O20,2,N7:N20)</f>
        <v>0</v>
      </c>
    </row>
    <row r="26" spans="2:22" ht="18.3" x14ac:dyDescent="0.65">
      <c r="D26" s="77" t="s">
        <v>88</v>
      </c>
      <c r="E26" s="81">
        <f>N21</f>
        <v>-146.015625</v>
      </c>
    </row>
    <row r="27" spans="2:22" ht="18.3" x14ac:dyDescent="0.65">
      <c r="D27" s="77" t="s">
        <v>89</v>
      </c>
      <c r="E27" s="81">
        <f>N12+N16+N19</f>
        <v>0</v>
      </c>
    </row>
    <row r="29" spans="2:22" x14ac:dyDescent="0.55000000000000004">
      <c r="B29" s="1" t="s">
        <v>45</v>
      </c>
    </row>
    <row r="30" spans="2:22" x14ac:dyDescent="0.55000000000000004">
      <c r="B30" s="36" t="s">
        <v>20</v>
      </c>
      <c r="D30" s="83" t="s">
        <v>19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x14ac:dyDescent="0.55000000000000004">
      <c r="B31" s="36" t="s">
        <v>21</v>
      </c>
      <c r="D31" s="83" t="s">
        <v>22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55000000000000004">
      <c r="B32" s="36" t="s">
        <v>23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4" x14ac:dyDescent="0.55000000000000004">
      <c r="B33" s="36" t="s">
        <v>20</v>
      </c>
      <c r="D33" s="83" t="s">
        <v>34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4" x14ac:dyDescent="0.55000000000000004">
      <c r="B34" s="36"/>
      <c r="D34" s="83" t="s">
        <v>35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4" x14ac:dyDescent="0.55000000000000004">
      <c r="B35" s="36"/>
      <c r="D35" s="83" t="s">
        <v>29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4" x14ac:dyDescent="0.55000000000000004">
      <c r="B36" s="36"/>
    </row>
    <row r="37" spans="2:14" ht="14.4" customHeight="1" x14ac:dyDescent="0.55000000000000004">
      <c r="B37" s="36" t="s">
        <v>28</v>
      </c>
      <c r="D37" s="83" t="s">
        <v>37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4" ht="14.4" customHeight="1" x14ac:dyDescent="0.55000000000000004">
      <c r="D38" s="83" t="s">
        <v>38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4" x14ac:dyDescent="0.55000000000000004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2:14" ht="28.8" x14ac:dyDescent="0.55000000000000004">
      <c r="B40" s="1" t="s">
        <v>57</v>
      </c>
    </row>
    <row r="44" spans="2:14" ht="86.4" x14ac:dyDescent="0.55000000000000004">
      <c r="B44" s="1" t="s">
        <v>40</v>
      </c>
      <c r="D44" t="s">
        <v>39</v>
      </c>
    </row>
    <row r="45" spans="2:14" x14ac:dyDescent="0.55000000000000004">
      <c r="D45" t="s">
        <v>41</v>
      </c>
    </row>
  </sheetData>
  <mergeCells count="13">
    <mergeCell ref="D39:N39"/>
    <mergeCell ref="D3:D4"/>
    <mergeCell ref="C3:C4"/>
    <mergeCell ref="B3:B4"/>
    <mergeCell ref="N3:N4"/>
    <mergeCell ref="D38:N38"/>
    <mergeCell ref="D37:N37"/>
    <mergeCell ref="D30:N30"/>
    <mergeCell ref="D31:N31"/>
    <mergeCell ref="D32:N32"/>
    <mergeCell ref="D33:N33"/>
    <mergeCell ref="D34:N34"/>
    <mergeCell ref="D35:N35"/>
  </mergeCells>
  <phoneticPr fontId="3" type="noConversion"/>
  <pageMargins left="0.7" right="0.7" top="0.75" bottom="0.75" header="0.3" footer="0.3"/>
  <pageSetup paperSize="9" scale="45" orientation="landscape" horizontalDpi="1200" verticalDpi="1200" r:id="rId1"/>
  <ignoredErrors>
    <ignoredError sqref="G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1970-3220-4D33-B828-0162243D266F}">
  <dimension ref="B2:V44"/>
  <sheetViews>
    <sheetView zoomScale="70" zoomScaleNormal="70" zoomScaleSheetLayoutView="70" zoomScalePageLayoutView="67" workbookViewId="0">
      <selection activeCell="H27" sqref="H27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5120</v>
      </c>
      <c r="F5" s="2">
        <f>F6+F13+F17+F20</f>
        <v>805</v>
      </c>
      <c r="G5" s="41">
        <f>F5/E5</f>
        <v>0.1572265625</v>
      </c>
      <c r="H5" s="6">
        <f>H6+H13+H17+H20</f>
        <v>5120</v>
      </c>
      <c r="I5" s="2">
        <f>I6+I13+I17+I20</f>
        <v>795</v>
      </c>
      <c r="J5" s="42">
        <f t="shared" ref="J5:J11" si="0">I5/H5</f>
        <v>0.1552734375</v>
      </c>
      <c r="K5" s="6">
        <f>H5-E5</f>
        <v>0</v>
      </c>
      <c r="L5" s="2">
        <f>I5-F5</f>
        <v>-10</v>
      </c>
      <c r="M5" s="29">
        <f>J5-G5</f>
        <v>-1.953125E-3</v>
      </c>
      <c r="N5" s="53">
        <f t="shared" ref="N5:N11" si="1">I5-H5*G5</f>
        <v>-10</v>
      </c>
      <c r="O5" s="76"/>
      <c r="P5" s="37">
        <f>P6+P13+P17+P20</f>
        <v>1</v>
      </c>
      <c r="Q5" s="37">
        <f>Q6+Q13+Q17+Q20</f>
        <v>1</v>
      </c>
      <c r="R5" s="40">
        <f>Q5-P5</f>
        <v>0</v>
      </c>
      <c r="T5" s="37"/>
      <c r="U5" s="37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1120</v>
      </c>
      <c r="F6" s="2">
        <f>SUMIF($C7:$C$19,$C6,F7:F$19)</f>
        <v>285</v>
      </c>
      <c r="G6" s="7">
        <f>F6/E6</f>
        <v>0.2544642857142857</v>
      </c>
      <c r="H6" s="6">
        <f>SUMIF($C7:$C$19,$C6,H7:H$19)</f>
        <v>1120</v>
      </c>
      <c r="I6" s="2">
        <f>SUMIF($C7:$C$19,$C6,I7:I$19)</f>
        <v>285</v>
      </c>
      <c r="J6" s="14">
        <f t="shared" si="0"/>
        <v>0.2544642857142857</v>
      </c>
      <c r="K6" s="6">
        <f t="shared" ref="K6:M21" si="2">H6-E6</f>
        <v>0</v>
      </c>
      <c r="L6" s="2">
        <f t="shared" si="2"/>
        <v>0</v>
      </c>
      <c r="M6" s="29">
        <f t="shared" si="2"/>
        <v>0</v>
      </c>
      <c r="N6" s="33">
        <f t="shared" si="1"/>
        <v>0</v>
      </c>
      <c r="O6" s="76"/>
      <c r="P6" s="37">
        <f>E6/$E$5</f>
        <v>0.21875</v>
      </c>
      <c r="Q6" s="37">
        <f>H6/$H$5</f>
        <v>0.21875</v>
      </c>
      <c r="R6" s="40">
        <f>Q6-P6</f>
        <v>0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2"/>
        <v>0</v>
      </c>
      <c r="M7" s="31">
        <f t="shared" si="2"/>
        <v>0</v>
      </c>
      <c r="N7" s="34">
        <f t="shared" si="1"/>
        <v>0</v>
      </c>
      <c r="O7" s="76">
        <f t="shared" ref="O7:O11" si="3">IF(N7&gt;0,1,2)</f>
        <v>2</v>
      </c>
      <c r="P7" s="8"/>
      <c r="Q7" s="8"/>
      <c r="R7" s="19"/>
      <c r="T7" s="38">
        <f>E7/$E$6</f>
        <v>8.9285714285714288E-2</v>
      </c>
      <c r="U7" s="38">
        <f>H7/$H$6</f>
        <v>8.9285714285714288E-2</v>
      </c>
      <c r="V7" s="52">
        <f t="shared" ref="V7:V19" si="4">U7-T7</f>
        <v>0</v>
      </c>
    </row>
    <row r="8" spans="2:22" x14ac:dyDescent="0.55000000000000004">
      <c r="B8" s="8"/>
      <c r="C8" t="s">
        <v>31</v>
      </c>
      <c r="D8" s="23" t="s">
        <v>1</v>
      </c>
      <c r="E8" s="8">
        <v>500</v>
      </c>
      <c r="F8" s="1">
        <v>200</v>
      </c>
      <c r="G8" s="9">
        <f t="shared" ref="G8:G11" si="5">F8/E8</f>
        <v>0.4</v>
      </c>
      <c r="H8" s="8">
        <v>500</v>
      </c>
      <c r="I8" s="1">
        <v>200</v>
      </c>
      <c r="J8" s="15">
        <f t="shared" si="0"/>
        <v>0.4</v>
      </c>
      <c r="K8" s="8">
        <f t="shared" si="2"/>
        <v>0</v>
      </c>
      <c r="L8" s="1">
        <f t="shared" si="2"/>
        <v>0</v>
      </c>
      <c r="M8" s="31">
        <f t="shared" si="2"/>
        <v>0</v>
      </c>
      <c r="N8" s="34">
        <f t="shared" si="1"/>
        <v>0</v>
      </c>
      <c r="O8" s="76">
        <f t="shared" si="3"/>
        <v>2</v>
      </c>
      <c r="P8" s="8"/>
      <c r="Q8" s="8"/>
      <c r="R8" s="19"/>
      <c r="T8" s="38">
        <f t="shared" ref="T8:T12" si="6">E8/$E$6</f>
        <v>0.44642857142857145</v>
      </c>
      <c r="U8" s="38">
        <f t="shared" ref="U8:U12" si="7">H8/$H$6</f>
        <v>0.44642857142857145</v>
      </c>
      <c r="V8" s="52">
        <f t="shared" si="4"/>
        <v>0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1">
        <v>5</v>
      </c>
      <c r="G9" s="9">
        <f t="shared" si="5"/>
        <v>0.125</v>
      </c>
      <c r="H9" s="8">
        <v>40</v>
      </c>
      <c r="I9" s="1">
        <v>5</v>
      </c>
      <c r="J9" s="9">
        <f t="shared" si="0"/>
        <v>0.125</v>
      </c>
      <c r="K9" s="8">
        <f t="shared" si="2"/>
        <v>0</v>
      </c>
      <c r="L9" s="1">
        <f t="shared" si="2"/>
        <v>0</v>
      </c>
      <c r="M9" s="31">
        <f t="shared" si="2"/>
        <v>0</v>
      </c>
      <c r="N9" s="34">
        <f t="shared" si="1"/>
        <v>0</v>
      </c>
      <c r="O9" s="76">
        <f t="shared" si="3"/>
        <v>2</v>
      </c>
      <c r="P9" s="8"/>
      <c r="Q9" s="8"/>
      <c r="R9" s="19"/>
      <c r="T9" s="38">
        <f t="shared" si="6"/>
        <v>3.5714285714285712E-2</v>
      </c>
      <c r="U9" s="38">
        <f t="shared" si="7"/>
        <v>3.5714285714285712E-2</v>
      </c>
      <c r="V9" s="52">
        <f t="shared" si="4"/>
        <v>0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5"/>
        <v>0.5</v>
      </c>
      <c r="H10" s="8">
        <v>80</v>
      </c>
      <c r="I10" s="1">
        <v>40</v>
      </c>
      <c r="J10" s="15">
        <f t="shared" si="0"/>
        <v>0.5</v>
      </c>
      <c r="K10" s="8">
        <f t="shared" si="2"/>
        <v>0</v>
      </c>
      <c r="L10" s="1">
        <f t="shared" si="2"/>
        <v>0</v>
      </c>
      <c r="M10" s="31">
        <f t="shared" si="2"/>
        <v>0</v>
      </c>
      <c r="N10" s="34">
        <f t="shared" si="1"/>
        <v>0</v>
      </c>
      <c r="O10" s="76">
        <f t="shared" si="3"/>
        <v>2</v>
      </c>
      <c r="P10" s="8"/>
      <c r="Q10" s="8"/>
      <c r="R10" s="19"/>
      <c r="T10" s="38">
        <f t="shared" si="6"/>
        <v>7.1428571428571425E-2</v>
      </c>
      <c r="U10" s="38">
        <f t="shared" si="7"/>
        <v>7.1428571428571425E-2</v>
      </c>
      <c r="V10" s="52">
        <f t="shared" si="4"/>
        <v>0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5"/>
        <v>0.05</v>
      </c>
      <c r="H11" s="8">
        <v>400</v>
      </c>
      <c r="I11" s="1">
        <v>20</v>
      </c>
      <c r="J11" s="15">
        <f t="shared" si="0"/>
        <v>0.05</v>
      </c>
      <c r="K11" s="8">
        <f t="shared" si="2"/>
        <v>0</v>
      </c>
      <c r="L11" s="1">
        <f t="shared" si="2"/>
        <v>0</v>
      </c>
      <c r="M11" s="31">
        <f t="shared" si="2"/>
        <v>0</v>
      </c>
      <c r="N11" s="34">
        <f t="shared" si="1"/>
        <v>0</v>
      </c>
      <c r="O11" s="76">
        <f t="shared" si="3"/>
        <v>2</v>
      </c>
      <c r="P11" s="8"/>
      <c r="Q11" s="8"/>
      <c r="R11" s="19"/>
      <c r="T11" s="38">
        <f t="shared" si="6"/>
        <v>0.35714285714285715</v>
      </c>
      <c r="U11" s="38">
        <f t="shared" si="7"/>
        <v>0.35714285714285715</v>
      </c>
      <c r="V11" s="52">
        <f t="shared" si="4"/>
        <v>0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2"/>
        <v>0</v>
      </c>
      <c r="M12" s="32">
        <f t="shared" si="2"/>
        <v>0</v>
      </c>
      <c r="N12" s="34">
        <f>N6-SUM(N7:N11)</f>
        <v>0</v>
      </c>
      <c r="O12" s="76"/>
      <c r="P12" s="8"/>
      <c r="Q12" s="8"/>
      <c r="R12" s="19"/>
      <c r="T12" s="38">
        <f t="shared" si="6"/>
        <v>0</v>
      </c>
      <c r="U12" s="38">
        <f t="shared" si="7"/>
        <v>0</v>
      </c>
      <c r="V12" s="52">
        <f t="shared" si="4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3600</v>
      </c>
      <c r="I13" s="2">
        <f>SUMIF($C14:$C$19,$C13,I14:I$19)</f>
        <v>420</v>
      </c>
      <c r="J13" s="14">
        <f>I13/H13</f>
        <v>0.11666666666666667</v>
      </c>
      <c r="K13" s="6">
        <f t="shared" si="2"/>
        <v>0</v>
      </c>
      <c r="L13" s="2">
        <f t="shared" si="2"/>
        <v>0</v>
      </c>
      <c r="M13" s="29">
        <f t="shared" si="2"/>
        <v>0</v>
      </c>
      <c r="N13" s="33">
        <f>I13-H13*G13</f>
        <v>0</v>
      </c>
      <c r="O13" s="76"/>
      <c r="P13" s="37">
        <f>E13/$E$5</f>
        <v>0.703125</v>
      </c>
      <c r="Q13" s="37">
        <f>H13/$H$5</f>
        <v>0.703125</v>
      </c>
      <c r="R13" s="40">
        <f>Q13-P13</f>
        <v>0</v>
      </c>
      <c r="T13" s="37">
        <f>SUMIF($C14:$C$19,$C13,T14:T$19)</f>
        <v>1</v>
      </c>
      <c r="U13" s="37">
        <f>SUMIF($C14:$C$19,$C13,U14:U$19)</f>
        <v>1</v>
      </c>
      <c r="V13" s="40">
        <f t="shared" si="4"/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9">
        <f t="shared" ref="G14:G15" si="8">F14/E14</f>
        <v>0.1</v>
      </c>
      <c r="H14" s="8">
        <v>3000</v>
      </c>
      <c r="I14" s="1">
        <v>300</v>
      </c>
      <c r="J14" s="15">
        <f t="shared" ref="J14:J15" si="9">I14/H14</f>
        <v>0.1</v>
      </c>
      <c r="K14" s="8">
        <f t="shared" si="2"/>
        <v>0</v>
      </c>
      <c r="L14" s="1">
        <f t="shared" si="2"/>
        <v>0</v>
      </c>
      <c r="M14" s="31">
        <f t="shared" si="2"/>
        <v>0</v>
      </c>
      <c r="N14" s="34">
        <f>I14-H14*G14</f>
        <v>0</v>
      </c>
      <c r="O14" s="76">
        <f t="shared" ref="O14:O15" si="10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0.83333333333333337</v>
      </c>
      <c r="V14" s="52">
        <f t="shared" si="4"/>
        <v>0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9">
        <f t="shared" si="8"/>
        <v>0.2</v>
      </c>
      <c r="H15" s="8">
        <v>600</v>
      </c>
      <c r="I15" s="1">
        <v>120</v>
      </c>
      <c r="J15" s="15">
        <f t="shared" si="9"/>
        <v>0.2</v>
      </c>
      <c r="K15" s="8">
        <f t="shared" si="2"/>
        <v>0</v>
      </c>
      <c r="L15" s="1">
        <f t="shared" si="2"/>
        <v>0</v>
      </c>
      <c r="M15" s="31">
        <f t="shared" si="2"/>
        <v>0</v>
      </c>
      <c r="N15" s="34">
        <f>I15-H15*G15</f>
        <v>0</v>
      </c>
      <c r="O15" s="76">
        <f t="shared" si="10"/>
        <v>2</v>
      </c>
      <c r="P15" s="8"/>
      <c r="Q15" s="8"/>
      <c r="R15" s="19"/>
      <c r="T15" s="38">
        <f t="shared" ref="T15:T16" si="11">E15/$E$13</f>
        <v>0.16666666666666666</v>
      </c>
      <c r="U15" s="38">
        <f t="shared" ref="U15:U16" si="12">H15/$H$13</f>
        <v>0.16666666666666666</v>
      </c>
      <c r="V15" s="52">
        <f t="shared" si="4"/>
        <v>0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2"/>
        <v>0</v>
      </c>
      <c r="M16" s="32">
        <f t="shared" si="2"/>
        <v>0</v>
      </c>
      <c r="N16" s="34">
        <f>N13-SUM(N14:N15)</f>
        <v>0</v>
      </c>
      <c r="O16" s="76"/>
      <c r="P16" s="8"/>
      <c r="Q16" s="8"/>
      <c r="R16" s="19"/>
      <c r="T16" s="38">
        <f t="shared" si="11"/>
        <v>0</v>
      </c>
      <c r="U16" s="38">
        <f t="shared" si="12"/>
        <v>0</v>
      </c>
      <c r="V16" s="52">
        <f t="shared" si="4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2"/>
        <v>0</v>
      </c>
      <c r="M17" s="29">
        <f t="shared" si="2"/>
        <v>0</v>
      </c>
      <c r="N17" s="33">
        <f>I17-H17*G17</f>
        <v>0</v>
      </c>
      <c r="O17" s="76"/>
      <c r="P17" s="37">
        <f>E17/$E$5</f>
        <v>7.8125E-2</v>
      </c>
      <c r="Q17" s="37">
        <f>H17/$H$5</f>
        <v>7.8125E-2</v>
      </c>
      <c r="R17" s="40">
        <f>Q17-P17</f>
        <v>0</v>
      </c>
      <c r="T17" s="37">
        <f>SUMIF($C18:$C$19,$C17,T18:T$19)</f>
        <v>0</v>
      </c>
      <c r="U17" s="37">
        <f>SUMIF($C18:$C$19,$C17,U18:U$19)</f>
        <v>0</v>
      </c>
      <c r="V17" s="40">
        <f t="shared" si="4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3">F18/E18</f>
        <v>0.5</v>
      </c>
      <c r="H18" s="8">
        <v>400</v>
      </c>
      <c r="I18" s="1">
        <v>200</v>
      </c>
      <c r="J18" s="15">
        <f t="shared" ref="J18" si="14">I18/H18</f>
        <v>0.5</v>
      </c>
      <c r="K18" s="8">
        <f t="shared" si="2"/>
        <v>0</v>
      </c>
      <c r="L18" s="1">
        <f t="shared" si="2"/>
        <v>0</v>
      </c>
      <c r="M18" s="31">
        <f t="shared" si="2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4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2"/>
        <v>0</v>
      </c>
      <c r="M19" s="32">
        <f t="shared" si="2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4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47">
        <v>-100</v>
      </c>
      <c r="G20" s="7"/>
      <c r="H20" s="6"/>
      <c r="I20" s="47">
        <v>-110</v>
      </c>
      <c r="J20" s="14"/>
      <c r="K20" s="6"/>
      <c r="L20" s="2">
        <f t="shared" si="2"/>
        <v>-10</v>
      </c>
      <c r="M20" s="29">
        <f t="shared" si="2"/>
        <v>0</v>
      </c>
      <c r="N20" s="53">
        <f>I20-F20</f>
        <v>-10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2"/>
        <v>0</v>
      </c>
      <c r="N21" s="35">
        <f>N5-N6-N13-N17-N20</f>
        <v>0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9" t="s">
        <v>92</v>
      </c>
      <c r="E23" s="82">
        <f>N5</f>
        <v>-10</v>
      </c>
    </row>
    <row r="24" spans="2:22" ht="18.3" x14ac:dyDescent="0.65">
      <c r="D24" s="77" t="s">
        <v>90</v>
      </c>
      <c r="E24" s="81">
        <f>SUMIF(O7:O20,1,N7:N20)</f>
        <v>0</v>
      </c>
    </row>
    <row r="25" spans="2:22" ht="18.3" x14ac:dyDescent="0.65">
      <c r="D25" s="77" t="s">
        <v>91</v>
      </c>
      <c r="E25" s="81">
        <f>SUMIF(O7:O20,2,N7:N20)</f>
        <v>-10</v>
      </c>
    </row>
    <row r="26" spans="2:22" ht="18.3" x14ac:dyDescent="0.65">
      <c r="D26" s="77" t="s">
        <v>88</v>
      </c>
      <c r="E26" s="81">
        <f>N21</f>
        <v>0</v>
      </c>
    </row>
    <row r="27" spans="2:22" ht="18.3" x14ac:dyDescent="0.65">
      <c r="D27" s="77" t="s">
        <v>89</v>
      </c>
      <c r="E27" s="81">
        <f>N12+N16+N19</f>
        <v>0</v>
      </c>
    </row>
    <row r="29" spans="2:22" x14ac:dyDescent="0.55000000000000004">
      <c r="B29" s="1" t="s">
        <v>44</v>
      </c>
    </row>
    <row r="30" spans="2:22" x14ac:dyDescent="0.55000000000000004">
      <c r="B30" s="36" t="s">
        <v>20</v>
      </c>
      <c r="D30" s="83" t="s">
        <v>46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x14ac:dyDescent="0.55000000000000004">
      <c r="B31" s="36" t="s">
        <v>21</v>
      </c>
      <c r="D31" s="83" t="s">
        <v>47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55000000000000004">
      <c r="B32" s="36" t="s">
        <v>23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9" x14ac:dyDescent="0.55000000000000004">
      <c r="B33" s="36" t="s">
        <v>20</v>
      </c>
      <c r="D33" s="83" t="s">
        <v>34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9" x14ac:dyDescent="0.55000000000000004">
      <c r="B34" s="36"/>
      <c r="D34" s="83" t="s">
        <v>48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9" x14ac:dyDescent="0.55000000000000004">
      <c r="B35" s="36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9" x14ac:dyDescent="0.55000000000000004">
      <c r="B36" s="36"/>
    </row>
    <row r="37" spans="2:19" ht="14.4" customHeight="1" x14ac:dyDescent="0.55000000000000004">
      <c r="B37" s="36" t="s">
        <v>28</v>
      </c>
      <c r="D37" s="83" t="s">
        <v>49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9" ht="14.4" customHeight="1" x14ac:dyDescent="0.55000000000000004">
      <c r="D38" s="83" t="s">
        <v>50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9" x14ac:dyDescent="0.55000000000000004">
      <c r="D39" s="83" t="s">
        <v>51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2:19" ht="28.8" x14ac:dyDescent="0.55000000000000004">
      <c r="B40" s="1" t="s">
        <v>57</v>
      </c>
    </row>
    <row r="44" spans="2:19" s="1" customFormat="1" ht="86.4" x14ac:dyDescent="0.55000000000000004">
      <c r="B44" s="1" t="s">
        <v>40</v>
      </c>
      <c r="C44"/>
      <c r="D44" t="s">
        <v>41</v>
      </c>
      <c r="N44"/>
      <c r="O44"/>
      <c r="S44"/>
    </row>
  </sheetData>
  <mergeCells count="13">
    <mergeCell ref="D39:N39"/>
    <mergeCell ref="B3:B4"/>
    <mergeCell ref="C3:C4"/>
    <mergeCell ref="D3:D4"/>
    <mergeCell ref="N3:N4"/>
    <mergeCell ref="D38:N38"/>
    <mergeCell ref="D37:N37"/>
    <mergeCell ref="D30:N30"/>
    <mergeCell ref="D31:N31"/>
    <mergeCell ref="D32:N32"/>
    <mergeCell ref="D33:N33"/>
    <mergeCell ref="D34:N34"/>
    <mergeCell ref="D35:N35"/>
  </mergeCells>
  <pageMargins left="0.7" right="0.7" top="0.75" bottom="0.75" header="0.3" footer="0.3"/>
  <pageSetup paperSize="9" scale="4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ECE6-CB1B-449C-B096-8554CDDF67D3}">
  <dimension ref="B2:V46"/>
  <sheetViews>
    <sheetView zoomScale="70" zoomScaleNormal="70" zoomScaleSheetLayoutView="70" zoomScalePageLayoutView="67" workbookViewId="0">
      <selection activeCell="H27" sqref="H27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5120</v>
      </c>
      <c r="F5" s="2">
        <f>F6+F13+F17+F20</f>
        <v>805</v>
      </c>
      <c r="G5" s="41">
        <f>F5/E5</f>
        <v>0.1572265625</v>
      </c>
      <c r="H5" s="6">
        <f>H6+H13+H17+H20</f>
        <v>5120</v>
      </c>
      <c r="I5" s="2">
        <f>I6+I13+I17+I20</f>
        <v>705</v>
      </c>
      <c r="J5" s="42">
        <f t="shared" ref="J5:J11" si="0">I5/H5</f>
        <v>0.1376953125</v>
      </c>
      <c r="K5" s="6">
        <f>H5-E5</f>
        <v>0</v>
      </c>
      <c r="L5" s="2">
        <f>I5-F5</f>
        <v>-100</v>
      </c>
      <c r="M5" s="29">
        <f>J5-G5</f>
        <v>-1.953125E-2</v>
      </c>
      <c r="N5" s="33">
        <f t="shared" ref="N5:N11" si="1">I5-H5*G5</f>
        <v>-100</v>
      </c>
      <c r="O5" s="76"/>
      <c r="P5" s="37">
        <f>P6+P13+P17+P20</f>
        <v>1</v>
      </c>
      <c r="Q5" s="37">
        <f>Q6+Q13+Q17+Q20</f>
        <v>1</v>
      </c>
      <c r="R5" s="40">
        <f>Q5-P5</f>
        <v>0</v>
      </c>
      <c r="T5" s="37"/>
      <c r="U5" s="37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1120</v>
      </c>
      <c r="F6" s="2">
        <f>SUMIF($C7:$C$19,$C6,F7:F$19)</f>
        <v>285</v>
      </c>
      <c r="G6" s="41">
        <f>F6/E6</f>
        <v>0.2544642857142857</v>
      </c>
      <c r="H6" s="6">
        <f>SUMIF($C7:$C$19,$C6,H7:H$19)</f>
        <v>1120</v>
      </c>
      <c r="I6" s="2">
        <f>SUMIF($C7:$C$19,$C6,I7:I$19)</f>
        <v>185</v>
      </c>
      <c r="J6" s="42">
        <f t="shared" si="0"/>
        <v>0.16517857142857142</v>
      </c>
      <c r="K6" s="6">
        <f t="shared" ref="K6:M21" si="2">H6-E6</f>
        <v>0</v>
      </c>
      <c r="L6" s="2">
        <f t="shared" si="2"/>
        <v>-100</v>
      </c>
      <c r="M6" s="29">
        <f t="shared" si="2"/>
        <v>-8.9285714285714274E-2</v>
      </c>
      <c r="N6" s="33">
        <f t="shared" si="1"/>
        <v>-100</v>
      </c>
      <c r="O6" s="76"/>
      <c r="P6" s="37">
        <f>E6/$E$5</f>
        <v>0.21875</v>
      </c>
      <c r="Q6" s="37">
        <f>H6/$H$5</f>
        <v>0.21875</v>
      </c>
      <c r="R6" s="40">
        <f>Q6-P6</f>
        <v>0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2"/>
        <v>0</v>
      </c>
      <c r="M7" s="31">
        <f t="shared" si="2"/>
        <v>0</v>
      </c>
      <c r="N7" s="34">
        <f t="shared" si="1"/>
        <v>0</v>
      </c>
      <c r="O7" s="76">
        <f t="shared" ref="O7:O11" si="3">IF(N7&gt;0,1,2)</f>
        <v>2</v>
      </c>
      <c r="P7" s="8"/>
      <c r="Q7" s="8"/>
      <c r="R7" s="19"/>
      <c r="T7" s="38">
        <f>E7/$E$6</f>
        <v>8.9285714285714288E-2</v>
      </c>
      <c r="U7" s="38">
        <f>H7/$H$6</f>
        <v>8.9285714285714288E-2</v>
      </c>
      <c r="V7" s="52">
        <f t="shared" ref="V7:V19" si="4">U7-T7</f>
        <v>0</v>
      </c>
    </row>
    <row r="8" spans="2:22" x14ac:dyDescent="0.55000000000000004">
      <c r="B8" s="8"/>
      <c r="C8" t="s">
        <v>31</v>
      </c>
      <c r="D8" s="23" t="s">
        <v>1</v>
      </c>
      <c r="E8" s="8">
        <v>500</v>
      </c>
      <c r="F8" s="43">
        <v>200</v>
      </c>
      <c r="G8" s="44">
        <f t="shared" ref="G8:G11" si="5">F8/E8</f>
        <v>0.4</v>
      </c>
      <c r="H8" s="8">
        <v>500</v>
      </c>
      <c r="I8" s="43">
        <v>100</v>
      </c>
      <c r="J8" s="45">
        <f t="shared" si="0"/>
        <v>0.2</v>
      </c>
      <c r="K8" s="8">
        <f t="shared" si="2"/>
        <v>0</v>
      </c>
      <c r="L8" s="1">
        <f t="shared" si="2"/>
        <v>-100</v>
      </c>
      <c r="M8" s="31">
        <f t="shared" si="2"/>
        <v>-0.2</v>
      </c>
      <c r="N8" s="46">
        <f t="shared" si="1"/>
        <v>-100</v>
      </c>
      <c r="O8" s="76">
        <f t="shared" si="3"/>
        <v>2</v>
      </c>
      <c r="P8" s="8"/>
      <c r="Q8" s="8"/>
      <c r="R8" s="19"/>
      <c r="T8" s="38">
        <f t="shared" ref="T8:T12" si="6">E8/$E$6</f>
        <v>0.44642857142857145</v>
      </c>
      <c r="U8" s="38">
        <f t="shared" ref="U8:U12" si="7">H8/$H$6</f>
        <v>0.44642857142857145</v>
      </c>
      <c r="V8" s="52">
        <f t="shared" si="4"/>
        <v>0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54">
        <v>5</v>
      </c>
      <c r="G9" s="55">
        <f t="shared" si="5"/>
        <v>0.125</v>
      </c>
      <c r="H9" s="56">
        <v>40</v>
      </c>
      <c r="I9" s="54">
        <v>5</v>
      </c>
      <c r="J9" s="55">
        <f t="shared" si="0"/>
        <v>0.125</v>
      </c>
      <c r="K9" s="8">
        <f t="shared" si="2"/>
        <v>0</v>
      </c>
      <c r="L9" s="1">
        <f t="shared" si="2"/>
        <v>0</v>
      </c>
      <c r="M9" s="31">
        <f t="shared" si="2"/>
        <v>0</v>
      </c>
      <c r="N9" s="34">
        <f t="shared" si="1"/>
        <v>0</v>
      </c>
      <c r="O9" s="76">
        <f t="shared" si="3"/>
        <v>2</v>
      </c>
      <c r="P9" s="8"/>
      <c r="Q9" s="8"/>
      <c r="R9" s="19"/>
      <c r="T9" s="38">
        <f t="shared" si="6"/>
        <v>3.5714285714285712E-2</v>
      </c>
      <c r="U9" s="38">
        <f t="shared" si="7"/>
        <v>3.5714285714285712E-2</v>
      </c>
      <c r="V9" s="52">
        <f t="shared" si="4"/>
        <v>0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5"/>
        <v>0.5</v>
      </c>
      <c r="H10" s="8">
        <v>80</v>
      </c>
      <c r="I10" s="1">
        <v>40</v>
      </c>
      <c r="J10" s="15">
        <f t="shared" si="0"/>
        <v>0.5</v>
      </c>
      <c r="K10" s="8">
        <f t="shared" si="2"/>
        <v>0</v>
      </c>
      <c r="L10" s="1">
        <f t="shared" si="2"/>
        <v>0</v>
      </c>
      <c r="M10" s="31">
        <f t="shared" si="2"/>
        <v>0</v>
      </c>
      <c r="N10" s="34">
        <f t="shared" si="1"/>
        <v>0</v>
      </c>
      <c r="O10" s="76">
        <f t="shared" si="3"/>
        <v>2</v>
      </c>
      <c r="P10" s="8"/>
      <c r="Q10" s="8"/>
      <c r="R10" s="19"/>
      <c r="T10" s="38">
        <f t="shared" si="6"/>
        <v>7.1428571428571425E-2</v>
      </c>
      <c r="U10" s="38">
        <f t="shared" si="7"/>
        <v>7.1428571428571425E-2</v>
      </c>
      <c r="V10" s="52">
        <f t="shared" si="4"/>
        <v>0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5"/>
        <v>0.05</v>
      </c>
      <c r="H11" s="8">
        <v>400</v>
      </c>
      <c r="I11" s="1">
        <v>20</v>
      </c>
      <c r="J11" s="15">
        <f t="shared" si="0"/>
        <v>0.05</v>
      </c>
      <c r="K11" s="8">
        <f t="shared" si="2"/>
        <v>0</v>
      </c>
      <c r="L11" s="1">
        <f t="shared" si="2"/>
        <v>0</v>
      </c>
      <c r="M11" s="31">
        <f t="shared" si="2"/>
        <v>0</v>
      </c>
      <c r="N11" s="34">
        <f t="shared" si="1"/>
        <v>0</v>
      </c>
      <c r="O11" s="76">
        <f t="shared" si="3"/>
        <v>2</v>
      </c>
      <c r="P11" s="8"/>
      <c r="Q11" s="8"/>
      <c r="R11" s="19"/>
      <c r="T11" s="38">
        <f t="shared" si="6"/>
        <v>0.35714285714285715</v>
      </c>
      <c r="U11" s="38">
        <f t="shared" si="7"/>
        <v>0.35714285714285715</v>
      </c>
      <c r="V11" s="52">
        <f t="shared" si="4"/>
        <v>0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2"/>
        <v>0</v>
      </c>
      <c r="M12" s="32">
        <f t="shared" si="2"/>
        <v>0</v>
      </c>
      <c r="N12" s="34">
        <f>N6-SUM(N7:N11)</f>
        <v>0</v>
      </c>
      <c r="O12" s="76"/>
      <c r="P12" s="8"/>
      <c r="Q12" s="8"/>
      <c r="R12" s="19"/>
      <c r="T12" s="38">
        <f t="shared" si="6"/>
        <v>0</v>
      </c>
      <c r="U12" s="38">
        <f t="shared" si="7"/>
        <v>0</v>
      </c>
      <c r="V12" s="52">
        <f t="shared" si="4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3600</v>
      </c>
      <c r="I13" s="2">
        <f>SUMIF($C14:$C$19,$C13,I14:I$19)</f>
        <v>420</v>
      </c>
      <c r="J13" s="14">
        <f>I13/H13</f>
        <v>0.11666666666666667</v>
      </c>
      <c r="K13" s="6">
        <f t="shared" si="2"/>
        <v>0</v>
      </c>
      <c r="L13" s="2">
        <f t="shared" si="2"/>
        <v>0</v>
      </c>
      <c r="M13" s="29">
        <f t="shared" si="2"/>
        <v>0</v>
      </c>
      <c r="N13" s="33">
        <f>I13-H13*G13</f>
        <v>0</v>
      </c>
      <c r="O13" s="76"/>
      <c r="P13" s="37">
        <f>E13/$E$5</f>
        <v>0.703125</v>
      </c>
      <c r="Q13" s="37">
        <f>H13/$H$5</f>
        <v>0.703125</v>
      </c>
      <c r="R13" s="40">
        <f>Q13-P13</f>
        <v>0</v>
      </c>
      <c r="T13" s="37">
        <f>SUMIF($C14:$C$19,$C13,T14:T$19)</f>
        <v>1</v>
      </c>
      <c r="U13" s="37">
        <f>SUMIF($C14:$C$19,$C13,U14:U$19)</f>
        <v>1</v>
      </c>
      <c r="V13" s="40">
        <f t="shared" si="4"/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9">
        <f t="shared" ref="G14:G15" si="8">F14/E14</f>
        <v>0.1</v>
      </c>
      <c r="H14" s="8">
        <v>3000</v>
      </c>
      <c r="I14" s="1">
        <v>300</v>
      </c>
      <c r="J14" s="15">
        <f t="shared" ref="J14:J15" si="9">I14/H14</f>
        <v>0.1</v>
      </c>
      <c r="K14" s="8">
        <f t="shared" si="2"/>
        <v>0</v>
      </c>
      <c r="L14" s="1">
        <f t="shared" si="2"/>
        <v>0</v>
      </c>
      <c r="M14" s="31">
        <f t="shared" si="2"/>
        <v>0</v>
      </c>
      <c r="N14" s="34">
        <f>I14-H14*G14</f>
        <v>0</v>
      </c>
      <c r="O14" s="76">
        <f t="shared" ref="O14:O15" si="10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0.83333333333333337</v>
      </c>
      <c r="V14" s="52">
        <f t="shared" si="4"/>
        <v>0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9">
        <f t="shared" si="8"/>
        <v>0.2</v>
      </c>
      <c r="H15" s="8">
        <v>600</v>
      </c>
      <c r="I15" s="1">
        <v>120</v>
      </c>
      <c r="J15" s="15">
        <f t="shared" si="9"/>
        <v>0.2</v>
      </c>
      <c r="K15" s="8">
        <f t="shared" si="2"/>
        <v>0</v>
      </c>
      <c r="L15" s="1">
        <f t="shared" si="2"/>
        <v>0</v>
      </c>
      <c r="M15" s="31">
        <f t="shared" si="2"/>
        <v>0</v>
      </c>
      <c r="N15" s="34">
        <f>I15-H15*G15</f>
        <v>0</v>
      </c>
      <c r="O15" s="76">
        <f t="shared" si="10"/>
        <v>2</v>
      </c>
      <c r="P15" s="8"/>
      <c r="Q15" s="8"/>
      <c r="R15" s="19"/>
      <c r="T15" s="38">
        <f t="shared" ref="T15:T16" si="11">E15/$E$13</f>
        <v>0.16666666666666666</v>
      </c>
      <c r="U15" s="38">
        <f t="shared" ref="U15:U16" si="12">H15/$H$13</f>
        <v>0.16666666666666666</v>
      </c>
      <c r="V15" s="52">
        <f t="shared" si="4"/>
        <v>0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2"/>
        <v>0</v>
      </c>
      <c r="M16" s="32">
        <f t="shared" si="2"/>
        <v>0</v>
      </c>
      <c r="N16" s="34">
        <f>N13-SUM(N14:N15)</f>
        <v>0</v>
      </c>
      <c r="O16" s="76"/>
      <c r="P16" s="8"/>
      <c r="Q16" s="8"/>
      <c r="R16" s="19"/>
      <c r="T16" s="38">
        <f t="shared" si="11"/>
        <v>0</v>
      </c>
      <c r="U16" s="38">
        <f t="shared" si="12"/>
        <v>0</v>
      </c>
      <c r="V16" s="52">
        <f t="shared" si="4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2"/>
        <v>0</v>
      </c>
      <c r="M17" s="29">
        <f t="shared" si="2"/>
        <v>0</v>
      </c>
      <c r="N17" s="33">
        <f>I17-H17*G17</f>
        <v>0</v>
      </c>
      <c r="O17" s="76"/>
      <c r="P17" s="37">
        <f>E17/$E$5</f>
        <v>7.8125E-2</v>
      </c>
      <c r="Q17" s="37">
        <f>H17/$H$5</f>
        <v>7.8125E-2</v>
      </c>
      <c r="R17" s="40">
        <f>Q17-P17</f>
        <v>0</v>
      </c>
      <c r="T17" s="37">
        <f>SUMIF($C18:$C$19,$C17,T18:T$19)</f>
        <v>0</v>
      </c>
      <c r="U17" s="37">
        <f>SUMIF($C18:$C$19,$C17,U18:U$19)</f>
        <v>0</v>
      </c>
      <c r="V17" s="40">
        <f t="shared" si="4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3">F18/E18</f>
        <v>0.5</v>
      </c>
      <c r="H18" s="8">
        <v>400</v>
      </c>
      <c r="I18" s="1">
        <v>200</v>
      </c>
      <c r="J18" s="15">
        <f t="shared" ref="J18" si="14">I18/H18</f>
        <v>0.5</v>
      </c>
      <c r="K18" s="8">
        <f t="shared" si="2"/>
        <v>0</v>
      </c>
      <c r="L18" s="1">
        <f t="shared" si="2"/>
        <v>0</v>
      </c>
      <c r="M18" s="31">
        <f t="shared" si="2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4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2"/>
        <v>0</v>
      </c>
      <c r="M19" s="32">
        <f t="shared" si="2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4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7"/>
      <c r="H20" s="6"/>
      <c r="I20" s="2">
        <v>-100</v>
      </c>
      <c r="J20" s="14"/>
      <c r="K20" s="6"/>
      <c r="L20" s="2">
        <f t="shared" si="2"/>
        <v>0</v>
      </c>
      <c r="M20" s="29">
        <f t="shared" si="2"/>
        <v>0</v>
      </c>
      <c r="N20" s="33">
        <f>I20-F20</f>
        <v>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2"/>
        <v>0</v>
      </c>
      <c r="N21" s="35">
        <f>N5-N6-N13-N17-N20</f>
        <v>0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9" t="s">
        <v>92</v>
      </c>
      <c r="E23" s="82">
        <f>N5</f>
        <v>-100</v>
      </c>
    </row>
    <row r="24" spans="2:22" ht="18.3" x14ac:dyDescent="0.65">
      <c r="D24" s="77" t="s">
        <v>90</v>
      </c>
      <c r="E24" s="81">
        <f>SUMIF(O7:O20,1,N7:N20)</f>
        <v>0</v>
      </c>
    </row>
    <row r="25" spans="2:22" ht="18.3" x14ac:dyDescent="0.65">
      <c r="D25" s="77" t="s">
        <v>91</v>
      </c>
      <c r="E25" s="81">
        <f>SUMIF(O7:O20,2,N7:N20)</f>
        <v>-100</v>
      </c>
    </row>
    <row r="26" spans="2:22" ht="18.3" x14ac:dyDescent="0.65">
      <c r="D26" s="77" t="s">
        <v>88</v>
      </c>
      <c r="E26" s="81">
        <f>N21</f>
        <v>0</v>
      </c>
    </row>
    <row r="27" spans="2:22" ht="18.3" x14ac:dyDescent="0.65">
      <c r="D27" s="77" t="s">
        <v>89</v>
      </c>
      <c r="E27" s="81">
        <f>N12+N16+N19</f>
        <v>0</v>
      </c>
    </row>
    <row r="29" spans="2:22" x14ac:dyDescent="0.55000000000000004">
      <c r="B29" s="1" t="s">
        <v>61</v>
      </c>
    </row>
    <row r="30" spans="2:22" x14ac:dyDescent="0.55000000000000004">
      <c r="B30" s="36" t="s">
        <v>20</v>
      </c>
      <c r="D30" s="83" t="s">
        <v>52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x14ac:dyDescent="0.55000000000000004">
      <c r="B31" s="36" t="s">
        <v>21</v>
      </c>
      <c r="D31" s="83" t="s">
        <v>53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55000000000000004">
      <c r="B32" s="36" t="s">
        <v>23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9" x14ac:dyDescent="0.55000000000000004">
      <c r="B33" s="36" t="s">
        <v>20</v>
      </c>
      <c r="D33" s="83" t="s">
        <v>79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9" x14ac:dyDescent="0.55000000000000004">
      <c r="B34" s="36"/>
      <c r="D34" s="83" t="s">
        <v>54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9" x14ac:dyDescent="0.55000000000000004">
      <c r="B35" s="36"/>
      <c r="D35" s="83" t="s">
        <v>29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9" x14ac:dyDescent="0.55000000000000004">
      <c r="B36" s="36"/>
    </row>
    <row r="37" spans="2:19" ht="14.4" customHeight="1" x14ac:dyDescent="0.55000000000000004">
      <c r="B37" s="36" t="s">
        <v>28</v>
      </c>
      <c r="D37" s="83" t="s">
        <v>55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9" ht="23.7" customHeight="1" x14ac:dyDescent="0.55000000000000004">
      <c r="D38" s="83" t="s">
        <v>56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9" x14ac:dyDescent="0.55000000000000004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2:19" ht="28.8" x14ac:dyDescent="0.55000000000000004">
      <c r="B40" s="1" t="s">
        <v>57</v>
      </c>
      <c r="D40" t="s">
        <v>80</v>
      </c>
    </row>
    <row r="41" spans="2:19" x14ac:dyDescent="0.55000000000000004">
      <c r="D41" t="s">
        <v>58</v>
      </c>
    </row>
    <row r="44" spans="2:19" s="1" customFormat="1" ht="86.4" x14ac:dyDescent="0.55000000000000004">
      <c r="B44" s="1" t="s">
        <v>40</v>
      </c>
      <c r="C44"/>
      <c r="D44" t="s">
        <v>59</v>
      </c>
      <c r="N44"/>
      <c r="O44"/>
      <c r="S44"/>
    </row>
    <row r="45" spans="2:19" s="1" customFormat="1" x14ac:dyDescent="0.55000000000000004">
      <c r="C45"/>
      <c r="D45" t="s">
        <v>60</v>
      </c>
      <c r="N45"/>
      <c r="O45"/>
      <c r="S45"/>
    </row>
    <row r="46" spans="2:19" x14ac:dyDescent="0.55000000000000004">
      <c r="D46" t="s">
        <v>41</v>
      </c>
    </row>
  </sheetData>
  <mergeCells count="13">
    <mergeCell ref="D39:N39"/>
    <mergeCell ref="B3:B4"/>
    <mergeCell ref="C3:C4"/>
    <mergeCell ref="D3:D4"/>
    <mergeCell ref="N3:N4"/>
    <mergeCell ref="D38:N38"/>
    <mergeCell ref="D37:N37"/>
    <mergeCell ref="D30:N30"/>
    <mergeCell ref="D31:N31"/>
    <mergeCell ref="D32:N32"/>
    <mergeCell ref="D33:N33"/>
    <mergeCell ref="D34:N34"/>
    <mergeCell ref="D35:N35"/>
  </mergeCells>
  <pageMargins left="0.7" right="0.7" top="0.75" bottom="0.75" header="0.3" footer="0.3"/>
  <pageSetup paperSize="9" scale="4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491A-BBB5-4199-9EB0-7639079870C6}">
  <dimension ref="B2:V44"/>
  <sheetViews>
    <sheetView zoomScale="70" zoomScaleNormal="70" zoomScaleSheetLayoutView="70" zoomScalePageLayoutView="67" workbookViewId="0">
      <selection activeCell="H27" sqref="H27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4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5120</v>
      </c>
      <c r="F5" s="2">
        <f>F6+F13+F17+F20</f>
        <v>805</v>
      </c>
      <c r="G5" s="7">
        <f>F5/E5</f>
        <v>0.1572265625</v>
      </c>
      <c r="H5" s="51">
        <f>H6+H13+H17+H20</f>
        <v>5080</v>
      </c>
      <c r="I5" s="2">
        <f>I6+I13+I17+I20</f>
        <v>800</v>
      </c>
      <c r="J5" s="50">
        <f t="shared" ref="J5:J11" si="0">I5/H5</f>
        <v>0.15748031496062992</v>
      </c>
      <c r="K5" s="51">
        <f>H5-E5</f>
        <v>-40</v>
      </c>
      <c r="L5" s="47">
        <f>I5-F5</f>
        <v>-5</v>
      </c>
      <c r="M5" s="29">
        <f>J5-G5</f>
        <v>2.5375246062991907E-4</v>
      </c>
      <c r="N5" s="33">
        <f t="shared" ref="N5:N11" si="1">I5-H5*G5</f>
        <v>1.2890625</v>
      </c>
      <c r="O5" s="76"/>
      <c r="P5" s="37">
        <f>P6+P13+P17+P20</f>
        <v>1</v>
      </c>
      <c r="Q5" s="37">
        <f>Q6+Q13+Q17+Q20</f>
        <v>0.99999999999999989</v>
      </c>
      <c r="R5" s="40">
        <f>Q5-P5</f>
        <v>0</v>
      </c>
      <c r="T5" s="37"/>
      <c r="U5" s="37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1120</v>
      </c>
      <c r="F6" s="2">
        <f>SUMIF($C7:$C$19,$C6,F7:F$19)</f>
        <v>285</v>
      </c>
      <c r="G6" s="7">
        <f>F6/E6</f>
        <v>0.2544642857142857</v>
      </c>
      <c r="H6" s="6">
        <f>SUMIF($C7:$C$19,$C6,H7:H$19)</f>
        <v>1080</v>
      </c>
      <c r="I6" s="2">
        <f>SUMIF($C7:$C$19,$C6,I7:I$19)</f>
        <v>280</v>
      </c>
      <c r="J6" s="14">
        <f t="shared" si="0"/>
        <v>0.25925925925925924</v>
      </c>
      <c r="K6" s="51">
        <f t="shared" ref="K6:M21" si="2">H6-E6</f>
        <v>-40</v>
      </c>
      <c r="L6" s="47">
        <f t="shared" si="2"/>
        <v>-5</v>
      </c>
      <c r="M6" s="29">
        <f t="shared" si="2"/>
        <v>4.7949735449735464E-3</v>
      </c>
      <c r="N6" s="59">
        <f t="shared" si="1"/>
        <v>5.1785714285714448</v>
      </c>
      <c r="O6" s="76"/>
      <c r="P6" s="37">
        <f>E6/$E$5</f>
        <v>0.21875</v>
      </c>
      <c r="Q6" s="48">
        <f>H6/$H$5</f>
        <v>0.2125984251968504</v>
      </c>
      <c r="R6" s="60">
        <f>Q6-P6</f>
        <v>-6.1515748031495954E-3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2"/>
        <v>0</v>
      </c>
      <c r="M7" s="31">
        <f t="shared" si="2"/>
        <v>0</v>
      </c>
      <c r="N7" s="34">
        <f t="shared" si="1"/>
        <v>0</v>
      </c>
      <c r="O7" s="76">
        <f t="shared" ref="O7:O11" si="3">IF(N7&gt;0,1,2)</f>
        <v>2</v>
      </c>
      <c r="P7" s="8"/>
      <c r="Q7" s="8"/>
      <c r="R7" s="19"/>
      <c r="T7" s="38">
        <f>E7/$E$6</f>
        <v>8.9285714285714288E-2</v>
      </c>
      <c r="U7" s="38">
        <f>H7/$H$6</f>
        <v>9.2592592592592587E-2</v>
      </c>
      <c r="V7" s="57">
        <f t="shared" ref="V7:V19" si="4">U7-T7</f>
        <v>3.3068783068782998E-3</v>
      </c>
    </row>
    <row r="8" spans="2:22" x14ac:dyDescent="0.55000000000000004">
      <c r="B8" s="8"/>
      <c r="C8" t="s">
        <v>31</v>
      </c>
      <c r="D8" s="23" t="s">
        <v>1</v>
      </c>
      <c r="E8" s="8">
        <v>500</v>
      </c>
      <c r="F8" s="1">
        <v>200</v>
      </c>
      <c r="G8" s="9">
        <f t="shared" ref="G8:G11" si="5">F8/E8</f>
        <v>0.4</v>
      </c>
      <c r="H8" s="8">
        <v>500</v>
      </c>
      <c r="I8" s="1">
        <v>200</v>
      </c>
      <c r="J8" s="15">
        <f t="shared" si="0"/>
        <v>0.4</v>
      </c>
      <c r="K8" s="8">
        <f t="shared" si="2"/>
        <v>0</v>
      </c>
      <c r="L8" s="1">
        <f t="shared" si="2"/>
        <v>0</v>
      </c>
      <c r="M8" s="31">
        <f t="shared" si="2"/>
        <v>0</v>
      </c>
      <c r="N8" s="34">
        <f t="shared" si="1"/>
        <v>0</v>
      </c>
      <c r="O8" s="76">
        <f t="shared" si="3"/>
        <v>2</v>
      </c>
      <c r="P8" s="8"/>
      <c r="Q8" s="8"/>
      <c r="R8" s="19"/>
      <c r="T8" s="38">
        <f t="shared" ref="T8:T12" si="6">E8/$E$6</f>
        <v>0.44642857142857145</v>
      </c>
      <c r="U8" s="38">
        <f t="shared" ref="U8:U12" si="7">H8/$H$6</f>
        <v>0.46296296296296297</v>
      </c>
      <c r="V8" s="57">
        <f t="shared" si="4"/>
        <v>1.6534391534391513E-2</v>
      </c>
    </row>
    <row r="9" spans="2:22" x14ac:dyDescent="0.55000000000000004">
      <c r="B9" s="8"/>
      <c r="C9" t="s">
        <v>31</v>
      </c>
      <c r="D9" s="23" t="s">
        <v>86</v>
      </c>
      <c r="E9" s="8">
        <v>40</v>
      </c>
      <c r="F9" s="1">
        <v>5</v>
      </c>
      <c r="G9" s="9">
        <f t="shared" si="5"/>
        <v>0.125</v>
      </c>
      <c r="H9" s="8"/>
      <c r="J9" s="9"/>
      <c r="K9" s="61">
        <f t="shared" si="2"/>
        <v>-40</v>
      </c>
      <c r="L9" s="43">
        <f t="shared" si="2"/>
        <v>-5</v>
      </c>
      <c r="M9" s="31">
        <f t="shared" si="2"/>
        <v>-0.125</v>
      </c>
      <c r="N9" s="34">
        <f t="shared" si="1"/>
        <v>0</v>
      </c>
      <c r="O9" s="76">
        <f t="shared" si="3"/>
        <v>2</v>
      </c>
      <c r="P9" s="8"/>
      <c r="Q9" s="8"/>
      <c r="R9" s="19"/>
      <c r="T9" s="38">
        <f t="shared" si="6"/>
        <v>3.5714285714285712E-2</v>
      </c>
      <c r="U9" s="38">
        <f t="shared" si="7"/>
        <v>0</v>
      </c>
      <c r="V9" s="57">
        <f t="shared" si="4"/>
        <v>-3.5714285714285712E-2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5"/>
        <v>0.5</v>
      </c>
      <c r="H10" s="8">
        <v>80</v>
      </c>
      <c r="I10" s="1">
        <v>40</v>
      </c>
      <c r="J10" s="15">
        <f t="shared" si="0"/>
        <v>0.5</v>
      </c>
      <c r="K10" s="8">
        <f t="shared" si="2"/>
        <v>0</v>
      </c>
      <c r="L10" s="1">
        <f t="shared" si="2"/>
        <v>0</v>
      </c>
      <c r="M10" s="31">
        <f t="shared" si="2"/>
        <v>0</v>
      </c>
      <c r="N10" s="34">
        <f t="shared" si="1"/>
        <v>0</v>
      </c>
      <c r="O10" s="76">
        <f t="shared" si="3"/>
        <v>2</v>
      </c>
      <c r="P10" s="8"/>
      <c r="Q10" s="8"/>
      <c r="R10" s="19"/>
      <c r="T10" s="38">
        <f t="shared" si="6"/>
        <v>7.1428571428571425E-2</v>
      </c>
      <c r="U10" s="38">
        <f t="shared" si="7"/>
        <v>7.407407407407407E-2</v>
      </c>
      <c r="V10" s="57">
        <f t="shared" si="4"/>
        <v>2.6455026455026454E-3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5"/>
        <v>0.05</v>
      </c>
      <c r="H11" s="8">
        <v>400</v>
      </c>
      <c r="I11" s="1">
        <v>20</v>
      </c>
      <c r="J11" s="15">
        <f t="shared" si="0"/>
        <v>0.05</v>
      </c>
      <c r="K11" s="8">
        <f t="shared" si="2"/>
        <v>0</v>
      </c>
      <c r="L11" s="1">
        <f t="shared" si="2"/>
        <v>0</v>
      </c>
      <c r="M11" s="31">
        <f t="shared" si="2"/>
        <v>0</v>
      </c>
      <c r="N11" s="34">
        <f t="shared" si="1"/>
        <v>0</v>
      </c>
      <c r="O11" s="76">
        <f t="shared" si="3"/>
        <v>2</v>
      </c>
      <c r="P11" s="8"/>
      <c r="Q11" s="8"/>
      <c r="R11" s="19"/>
      <c r="T11" s="38">
        <f t="shared" si="6"/>
        <v>0.35714285714285715</v>
      </c>
      <c r="U11" s="38">
        <f t="shared" si="7"/>
        <v>0.37037037037037035</v>
      </c>
      <c r="V11" s="57">
        <f t="shared" si="4"/>
        <v>1.3227513227513199E-2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2"/>
        <v>0</v>
      </c>
      <c r="M12" s="32">
        <f t="shared" si="2"/>
        <v>0</v>
      </c>
      <c r="N12" s="34">
        <f>N6-SUM(N7:N11)</f>
        <v>5.1785714285714448</v>
      </c>
      <c r="O12" s="76"/>
      <c r="P12" s="8"/>
      <c r="Q12" s="8"/>
      <c r="R12" s="19"/>
      <c r="T12" s="38">
        <f t="shared" si="6"/>
        <v>0</v>
      </c>
      <c r="U12" s="38">
        <f t="shared" si="7"/>
        <v>0</v>
      </c>
      <c r="V12" s="57">
        <f t="shared" si="4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3600</v>
      </c>
      <c r="I13" s="2">
        <f>SUMIF($C14:$C$19,$C13,I14:I$19)</f>
        <v>420</v>
      </c>
      <c r="J13" s="14">
        <f>I13/H13</f>
        <v>0.11666666666666667</v>
      </c>
      <c r="K13" s="6">
        <f t="shared" si="2"/>
        <v>0</v>
      </c>
      <c r="L13" s="2">
        <f t="shared" si="2"/>
        <v>0</v>
      </c>
      <c r="M13" s="29">
        <f t="shared" si="2"/>
        <v>0</v>
      </c>
      <c r="N13" s="33">
        <f>I13-H13*G13</f>
        <v>0</v>
      </c>
      <c r="O13" s="76"/>
      <c r="P13" s="37">
        <f>E13/$E$5</f>
        <v>0.703125</v>
      </c>
      <c r="Q13" s="48">
        <f>H13/$H$5</f>
        <v>0.70866141732283461</v>
      </c>
      <c r="R13" s="60">
        <f>Q13-P13</f>
        <v>5.5364173228346081E-3</v>
      </c>
      <c r="T13" s="37">
        <f>SUMIF($C14:$C$19,$C13,T14:T$19)</f>
        <v>1</v>
      </c>
      <c r="U13" s="37">
        <f>SUMIF($C14:$C$19,$C13,U14:U$19)</f>
        <v>1</v>
      </c>
      <c r="V13" s="40">
        <f t="shared" si="4"/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9">
        <f t="shared" ref="G14:G15" si="8">F14/E14</f>
        <v>0.1</v>
      </c>
      <c r="H14" s="8">
        <v>3000</v>
      </c>
      <c r="I14" s="1">
        <v>300</v>
      </c>
      <c r="J14" s="15">
        <f t="shared" ref="J14:J15" si="9">I14/H14</f>
        <v>0.1</v>
      </c>
      <c r="K14" s="8">
        <f t="shared" si="2"/>
        <v>0</v>
      </c>
      <c r="L14" s="1">
        <f t="shared" si="2"/>
        <v>0</v>
      </c>
      <c r="M14" s="31">
        <f t="shared" si="2"/>
        <v>0</v>
      </c>
      <c r="N14" s="34">
        <f>I14-H14*G14</f>
        <v>0</v>
      </c>
      <c r="O14" s="76">
        <f t="shared" ref="O14:O15" si="10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0.83333333333333337</v>
      </c>
      <c r="V14" s="52">
        <f t="shared" si="4"/>
        <v>0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9">
        <f t="shared" si="8"/>
        <v>0.2</v>
      </c>
      <c r="H15" s="8">
        <v>600</v>
      </c>
      <c r="I15" s="1">
        <v>120</v>
      </c>
      <c r="J15" s="15">
        <f t="shared" si="9"/>
        <v>0.2</v>
      </c>
      <c r="K15" s="8">
        <f t="shared" si="2"/>
        <v>0</v>
      </c>
      <c r="L15" s="1">
        <f t="shared" si="2"/>
        <v>0</v>
      </c>
      <c r="M15" s="31">
        <f t="shared" si="2"/>
        <v>0</v>
      </c>
      <c r="N15" s="34">
        <f>I15-H15*G15</f>
        <v>0</v>
      </c>
      <c r="O15" s="76">
        <f t="shared" si="10"/>
        <v>2</v>
      </c>
      <c r="P15" s="8"/>
      <c r="Q15" s="8"/>
      <c r="R15" s="19"/>
      <c r="T15" s="38">
        <f t="shared" ref="T15:T16" si="11">E15/$E$13</f>
        <v>0.16666666666666666</v>
      </c>
      <c r="U15" s="38">
        <f t="shared" ref="U15:U16" si="12">H15/$H$13</f>
        <v>0.16666666666666666</v>
      </c>
      <c r="V15" s="52">
        <f t="shared" si="4"/>
        <v>0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2"/>
        <v>0</v>
      </c>
      <c r="M16" s="32">
        <f t="shared" si="2"/>
        <v>0</v>
      </c>
      <c r="N16" s="34">
        <f>N13-SUM(N14:N15)</f>
        <v>0</v>
      </c>
      <c r="O16" s="76"/>
      <c r="P16" s="8"/>
      <c r="Q16" s="8"/>
      <c r="R16" s="19"/>
      <c r="T16" s="38">
        <f t="shared" si="11"/>
        <v>0</v>
      </c>
      <c r="U16" s="38">
        <f t="shared" si="12"/>
        <v>0</v>
      </c>
      <c r="V16" s="52">
        <f t="shared" si="4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2"/>
        <v>0</v>
      </c>
      <c r="M17" s="29">
        <f t="shared" si="2"/>
        <v>0</v>
      </c>
      <c r="N17" s="33">
        <f>I17-H17*G17</f>
        <v>0</v>
      </c>
      <c r="O17" s="76"/>
      <c r="P17" s="62">
        <f>E17/$E$5</f>
        <v>7.8125E-2</v>
      </c>
      <c r="Q17" s="62">
        <f>H17/$H$5</f>
        <v>7.874015748031496E-2</v>
      </c>
      <c r="R17" s="63">
        <f>Q17-P17</f>
        <v>6.1515748031495954E-4</v>
      </c>
      <c r="T17" s="37">
        <f>SUMIF($C18:$C$19,$C17,T18:T$19)</f>
        <v>0</v>
      </c>
      <c r="U17" s="37">
        <f>SUMIF($C18:$C$19,$C17,U18:U$19)</f>
        <v>0</v>
      </c>
      <c r="V17" s="40">
        <f t="shared" si="4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3">F18/E18</f>
        <v>0.5</v>
      </c>
      <c r="H18" s="8">
        <v>400</v>
      </c>
      <c r="I18" s="1">
        <v>200</v>
      </c>
      <c r="J18" s="15">
        <f t="shared" ref="J18" si="14">I18/H18</f>
        <v>0.5</v>
      </c>
      <c r="K18" s="8">
        <f t="shared" si="2"/>
        <v>0</v>
      </c>
      <c r="L18" s="1">
        <f t="shared" si="2"/>
        <v>0</v>
      </c>
      <c r="M18" s="31">
        <f t="shared" si="2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4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2"/>
        <v>0</v>
      </c>
      <c r="M19" s="32">
        <f t="shared" si="2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4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7"/>
      <c r="H20" s="6"/>
      <c r="I20" s="2">
        <v>-100</v>
      </c>
      <c r="J20" s="14"/>
      <c r="K20" s="6"/>
      <c r="L20" s="2">
        <f t="shared" si="2"/>
        <v>0</v>
      </c>
      <c r="M20" s="29">
        <f t="shared" si="2"/>
        <v>0</v>
      </c>
      <c r="N20" s="33">
        <f>I20-F20</f>
        <v>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2"/>
        <v>0</v>
      </c>
      <c r="N21" s="58">
        <f>N5-N6-N13-N17-N20</f>
        <v>-3.8895089285714448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9" t="s">
        <v>92</v>
      </c>
      <c r="E23" s="82">
        <f>N5</f>
        <v>1.2890625</v>
      </c>
    </row>
    <row r="24" spans="2:22" ht="18.3" x14ac:dyDescent="0.65">
      <c r="D24" s="77" t="s">
        <v>90</v>
      </c>
      <c r="E24" s="81">
        <f>SUMIF(O7:O20,1,N7:N20)</f>
        <v>0</v>
      </c>
    </row>
    <row r="25" spans="2:22" ht="18.3" x14ac:dyDescent="0.65">
      <c r="D25" s="77" t="s">
        <v>91</v>
      </c>
      <c r="E25" s="81">
        <f>SUMIF(O7:O20,2,N7:N20)</f>
        <v>0</v>
      </c>
    </row>
    <row r="26" spans="2:22" ht="18.3" x14ac:dyDescent="0.65">
      <c r="D26" s="77" t="s">
        <v>88</v>
      </c>
      <c r="E26" s="81">
        <f>N21</f>
        <v>-3.8895089285714448</v>
      </c>
    </row>
    <row r="27" spans="2:22" ht="18.3" x14ac:dyDescent="0.65">
      <c r="D27" s="77" t="s">
        <v>89</v>
      </c>
      <c r="E27" s="81">
        <f>N12+N16+N19</f>
        <v>5.1785714285714448</v>
      </c>
    </row>
    <row r="29" spans="2:22" x14ac:dyDescent="0.55000000000000004">
      <c r="B29" s="1" t="s">
        <v>69</v>
      </c>
    </row>
    <row r="30" spans="2:22" x14ac:dyDescent="0.55000000000000004">
      <c r="B30" s="36" t="s">
        <v>20</v>
      </c>
      <c r="D30" s="83" t="s">
        <v>62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x14ac:dyDescent="0.55000000000000004">
      <c r="B31" s="36" t="s">
        <v>21</v>
      </c>
      <c r="D31" s="83" t="s">
        <v>63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55000000000000004">
      <c r="B32" s="36" t="s">
        <v>23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9" x14ac:dyDescent="0.55000000000000004">
      <c r="B33" s="36" t="s">
        <v>20</v>
      </c>
      <c r="D33" s="83" t="s">
        <v>65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9" x14ac:dyDescent="0.55000000000000004">
      <c r="B34" s="36"/>
      <c r="D34" s="83" t="s">
        <v>64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9" x14ac:dyDescent="0.55000000000000004">
      <c r="B35" s="36"/>
      <c r="D35" s="83" t="s">
        <v>66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9" x14ac:dyDescent="0.55000000000000004">
      <c r="B36" s="36"/>
    </row>
    <row r="37" spans="2:19" ht="36.299999999999997" customHeight="1" x14ac:dyDescent="0.55000000000000004">
      <c r="B37" s="36" t="s">
        <v>28</v>
      </c>
      <c r="D37" s="83" t="s">
        <v>78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9" ht="39" customHeight="1" x14ac:dyDescent="0.55000000000000004">
      <c r="D38" s="83" t="s">
        <v>67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9" x14ac:dyDescent="0.55000000000000004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2:19" ht="28.8" x14ac:dyDescent="0.55000000000000004">
      <c r="B40" s="1" t="s">
        <v>57</v>
      </c>
    </row>
    <row r="44" spans="2:19" s="1" customFormat="1" ht="86.4" x14ac:dyDescent="0.55000000000000004">
      <c r="B44" s="1" t="s">
        <v>40</v>
      </c>
      <c r="C44"/>
      <c r="D44" t="s">
        <v>68</v>
      </c>
      <c r="N44"/>
      <c r="O44"/>
      <c r="S44"/>
    </row>
  </sheetData>
  <mergeCells count="13">
    <mergeCell ref="D39:N39"/>
    <mergeCell ref="B3:B4"/>
    <mergeCell ref="C3:C4"/>
    <mergeCell ref="D3:D4"/>
    <mergeCell ref="N3:N4"/>
    <mergeCell ref="D38:N38"/>
    <mergeCell ref="D37:N37"/>
    <mergeCell ref="D30:N30"/>
    <mergeCell ref="D31:N31"/>
    <mergeCell ref="D32:N32"/>
    <mergeCell ref="D33:N33"/>
    <mergeCell ref="D34:N34"/>
    <mergeCell ref="D35:N35"/>
  </mergeCells>
  <pageMargins left="0.7" right="0.7" top="0.75" bottom="0.75" header="0.3" footer="0.3"/>
  <pageSetup paperSize="9" scale="4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900F-7D3F-47C1-8D00-B2F23FA58C9D}">
  <dimension ref="B2:V27"/>
  <sheetViews>
    <sheetView zoomScale="70" zoomScaleNormal="70" zoomScaleSheetLayoutView="70" zoomScalePageLayoutView="67" workbookViewId="0">
      <selection activeCell="H27" sqref="H27"/>
    </sheetView>
  </sheetViews>
  <sheetFormatPr defaultRowHeight="14.4" x14ac:dyDescent="0.55000000000000004"/>
  <cols>
    <col min="1" max="1" width="5" customWidth="1"/>
    <col min="2" max="2" width="12.83984375" style="1" customWidth="1"/>
    <col min="3" max="3" width="15.89453125" customWidth="1"/>
    <col min="4" max="4" width="53.5234375" customWidth="1"/>
    <col min="5" max="13" width="11.734375" style="1" customWidth="1"/>
    <col min="14" max="14" width="11.7890625" bestFit="1" customWidth="1"/>
    <col min="15" max="15" width="2.83984375" customWidth="1"/>
    <col min="16" max="18" width="11.734375" style="1" customWidth="1"/>
    <col min="19" max="19" width="4.05078125" customWidth="1"/>
    <col min="20" max="22" width="11.734375" style="1" customWidth="1"/>
  </cols>
  <sheetData>
    <row r="2" spans="2:22" ht="15.9" thickBot="1" x14ac:dyDescent="0.65">
      <c r="B2" s="1" t="s">
        <v>25</v>
      </c>
      <c r="N2" s="75" t="s">
        <v>87</v>
      </c>
      <c r="P2" s="1" t="s">
        <v>27</v>
      </c>
      <c r="T2" s="1" t="s">
        <v>26</v>
      </c>
    </row>
    <row r="3" spans="2:22" ht="20.100000000000001" customHeight="1" thickBot="1" x14ac:dyDescent="0.6">
      <c r="B3" s="84" t="s">
        <v>8</v>
      </c>
      <c r="C3" s="86" t="s">
        <v>9</v>
      </c>
      <c r="D3" s="88" t="s">
        <v>30</v>
      </c>
      <c r="E3" s="26" t="s">
        <v>82</v>
      </c>
      <c r="F3" s="27"/>
      <c r="G3" s="28"/>
      <c r="H3" s="26" t="s">
        <v>83</v>
      </c>
      <c r="I3" s="27"/>
      <c r="J3" s="27"/>
      <c r="K3" s="26" t="s">
        <v>84</v>
      </c>
      <c r="L3" s="27"/>
      <c r="M3" s="28"/>
      <c r="N3" s="90" t="s">
        <v>18</v>
      </c>
      <c r="O3" s="76"/>
      <c r="P3" s="26" t="s">
        <v>42</v>
      </c>
      <c r="Q3" s="26"/>
      <c r="R3" s="39"/>
      <c r="T3" s="26" t="s">
        <v>43</v>
      </c>
      <c r="U3" s="26"/>
      <c r="V3" s="39"/>
    </row>
    <row r="4" spans="2:22" ht="46.2" customHeight="1" x14ac:dyDescent="0.55000000000000004">
      <c r="B4" s="85"/>
      <c r="C4" s="87"/>
      <c r="D4" s="89"/>
      <c r="E4" s="4" t="s">
        <v>15</v>
      </c>
      <c r="F4" s="3" t="s">
        <v>17</v>
      </c>
      <c r="G4" s="5" t="s">
        <v>16</v>
      </c>
      <c r="H4" s="4" t="s">
        <v>15</v>
      </c>
      <c r="I4" s="3" t="s">
        <v>17</v>
      </c>
      <c r="J4" s="3" t="s">
        <v>16</v>
      </c>
      <c r="K4" s="4" t="s">
        <v>15</v>
      </c>
      <c r="L4" s="3" t="s">
        <v>17</v>
      </c>
      <c r="M4" s="3" t="s">
        <v>16</v>
      </c>
      <c r="N4" s="91"/>
      <c r="O4" s="76"/>
      <c r="P4" s="4" t="s">
        <v>82</v>
      </c>
      <c r="Q4" s="4" t="s">
        <v>83</v>
      </c>
      <c r="R4" s="17" t="s">
        <v>24</v>
      </c>
      <c r="T4" s="4" t="s">
        <v>82</v>
      </c>
      <c r="U4" s="4" t="s">
        <v>83</v>
      </c>
      <c r="V4" s="17" t="s">
        <v>24</v>
      </c>
    </row>
    <row r="5" spans="2:22" x14ac:dyDescent="0.55000000000000004">
      <c r="B5" s="6">
        <v>1</v>
      </c>
      <c r="C5" s="21" t="s">
        <v>13</v>
      </c>
      <c r="D5" s="22" t="s">
        <v>14</v>
      </c>
      <c r="E5" s="6">
        <f>E6+E13+E17+E20</f>
        <v>5120</v>
      </c>
      <c r="F5" s="2">
        <f>F6+F13+F17+F20</f>
        <v>805</v>
      </c>
      <c r="G5" s="7">
        <f>F5/E5</f>
        <v>0.1572265625</v>
      </c>
      <c r="H5" s="6">
        <f>H6+H13+H17+H20</f>
        <v>5120</v>
      </c>
      <c r="I5" s="2">
        <f>I6+I13+I17+I20</f>
        <v>805</v>
      </c>
      <c r="J5" s="14">
        <f t="shared" ref="J5:J11" si="0">I5/H5</f>
        <v>0.1572265625</v>
      </c>
      <c r="K5" s="6">
        <f>H5-E5</f>
        <v>0</v>
      </c>
      <c r="L5" s="2">
        <f>I5-F5</f>
        <v>0</v>
      </c>
      <c r="M5" s="29">
        <f>J5-G5</f>
        <v>0</v>
      </c>
      <c r="N5" s="33">
        <f t="shared" ref="N5:N11" si="1">I5-H5*G5</f>
        <v>0</v>
      </c>
      <c r="O5" s="76"/>
      <c r="P5" s="37">
        <f>P6+P13+P17+P20</f>
        <v>1</v>
      </c>
      <c r="Q5" s="37">
        <f>Q6+Q13+Q17+Q20</f>
        <v>1</v>
      </c>
      <c r="R5" s="40">
        <f>Q5-P5</f>
        <v>0</v>
      </c>
      <c r="T5" s="37"/>
      <c r="U5" s="37"/>
      <c r="V5" s="40"/>
    </row>
    <row r="6" spans="2:22" x14ac:dyDescent="0.55000000000000004">
      <c r="B6" s="6">
        <v>2</v>
      </c>
      <c r="C6" s="21" t="s">
        <v>31</v>
      </c>
      <c r="D6" s="22" t="s">
        <v>31</v>
      </c>
      <c r="E6" s="6">
        <f>SUMIF($C7:$C$19,$C6,E7:E$19)</f>
        <v>1120</v>
      </c>
      <c r="F6" s="2">
        <f>SUMIF($C7:$C$19,$C6,F7:F$19)</f>
        <v>285</v>
      </c>
      <c r="G6" s="7">
        <f>F6/E6</f>
        <v>0.2544642857142857</v>
      </c>
      <c r="H6" s="6">
        <f>SUMIF($C7:$C$19,$C6,H7:H$19)</f>
        <v>1120</v>
      </c>
      <c r="I6" s="2">
        <f>SUMIF($C7:$C$19,$C6,I7:I$19)</f>
        <v>285</v>
      </c>
      <c r="J6" s="14">
        <f t="shared" si="0"/>
        <v>0.2544642857142857</v>
      </c>
      <c r="K6" s="6">
        <f t="shared" ref="K6:M21" si="2">H6-E6</f>
        <v>0</v>
      </c>
      <c r="L6" s="2">
        <f t="shared" si="2"/>
        <v>0</v>
      </c>
      <c r="M6" s="29">
        <f t="shared" si="2"/>
        <v>0</v>
      </c>
      <c r="N6" s="33">
        <f t="shared" si="1"/>
        <v>0</v>
      </c>
      <c r="O6" s="76"/>
      <c r="P6" s="37">
        <f>E6/$E$5</f>
        <v>0.21875</v>
      </c>
      <c r="Q6" s="37">
        <f>H6/$H$5</f>
        <v>0.21875</v>
      </c>
      <c r="R6" s="40">
        <f>Q6-P6</f>
        <v>0</v>
      </c>
      <c r="T6" s="37">
        <f>SUMIF($C7:$C$19,$C6,T7:T$19)</f>
        <v>1</v>
      </c>
      <c r="U6" s="37">
        <f>SUMIF($C7:$C$19,$C6,U7:U$19)</f>
        <v>1</v>
      </c>
      <c r="V6" s="40">
        <f>U6-T6</f>
        <v>0</v>
      </c>
    </row>
    <row r="7" spans="2:22" x14ac:dyDescent="0.55000000000000004">
      <c r="B7" s="8"/>
      <c r="C7" t="s">
        <v>31</v>
      </c>
      <c r="D7" s="23" t="s">
        <v>0</v>
      </c>
      <c r="E7" s="8">
        <v>100</v>
      </c>
      <c r="F7" s="1">
        <v>20</v>
      </c>
      <c r="G7" s="9">
        <f>F7/E7</f>
        <v>0.2</v>
      </c>
      <c r="H7" s="8">
        <v>100</v>
      </c>
      <c r="I7" s="1">
        <v>20</v>
      </c>
      <c r="J7" s="9">
        <f>I7/H7</f>
        <v>0.2</v>
      </c>
      <c r="K7" s="8">
        <f t="shared" si="2"/>
        <v>0</v>
      </c>
      <c r="L7" s="1">
        <f t="shared" si="2"/>
        <v>0</v>
      </c>
      <c r="M7" s="31">
        <f t="shared" si="2"/>
        <v>0</v>
      </c>
      <c r="N7" s="34">
        <f t="shared" si="1"/>
        <v>0</v>
      </c>
      <c r="O7" s="76">
        <f t="shared" ref="O7:O11" si="3">IF(N7&gt;0,1,2)</f>
        <v>2</v>
      </c>
      <c r="P7" s="8"/>
      <c r="Q7" s="8"/>
      <c r="R7" s="19"/>
      <c r="T7" s="38">
        <f>E7/$E$6</f>
        <v>8.9285714285714288E-2</v>
      </c>
      <c r="U7" s="38">
        <f>H7/$H$6</f>
        <v>8.9285714285714288E-2</v>
      </c>
      <c r="V7" s="52">
        <f t="shared" ref="V7:V19" si="4">U7-T7</f>
        <v>0</v>
      </c>
    </row>
    <row r="8" spans="2:22" x14ac:dyDescent="0.55000000000000004">
      <c r="B8" s="8"/>
      <c r="C8" t="s">
        <v>31</v>
      </c>
      <c r="D8" s="23" t="s">
        <v>1</v>
      </c>
      <c r="E8" s="8">
        <v>500</v>
      </c>
      <c r="F8" s="1">
        <v>200</v>
      </c>
      <c r="G8" s="9">
        <f t="shared" ref="G8:G11" si="5">F8/E8</f>
        <v>0.4</v>
      </c>
      <c r="H8" s="8">
        <v>500</v>
      </c>
      <c r="I8" s="1">
        <v>200</v>
      </c>
      <c r="J8" s="15">
        <f t="shared" si="0"/>
        <v>0.4</v>
      </c>
      <c r="K8" s="8">
        <f t="shared" si="2"/>
        <v>0</v>
      </c>
      <c r="L8" s="1">
        <f t="shared" si="2"/>
        <v>0</v>
      </c>
      <c r="M8" s="31">
        <f t="shared" si="2"/>
        <v>0</v>
      </c>
      <c r="N8" s="34">
        <f t="shared" si="1"/>
        <v>0</v>
      </c>
      <c r="O8" s="76">
        <f t="shared" si="3"/>
        <v>2</v>
      </c>
      <c r="P8" s="8"/>
      <c r="Q8" s="8"/>
      <c r="R8" s="19"/>
      <c r="T8" s="38">
        <f t="shared" ref="T8:T12" si="6">E8/$E$6</f>
        <v>0.44642857142857145</v>
      </c>
      <c r="U8" s="38">
        <f t="shared" ref="U8:U12" si="7">H8/$H$6</f>
        <v>0.44642857142857145</v>
      </c>
      <c r="V8" s="52">
        <f t="shared" si="4"/>
        <v>0</v>
      </c>
    </row>
    <row r="9" spans="2:22" x14ac:dyDescent="0.55000000000000004">
      <c r="B9" s="8"/>
      <c r="C9" t="s">
        <v>31</v>
      </c>
      <c r="D9" s="23" t="s">
        <v>2</v>
      </c>
      <c r="E9" s="8">
        <v>40</v>
      </c>
      <c r="F9" s="1">
        <v>5</v>
      </c>
      <c r="G9" s="9">
        <f t="shared" si="5"/>
        <v>0.125</v>
      </c>
      <c r="H9" s="8">
        <v>40</v>
      </c>
      <c r="I9" s="1">
        <v>5</v>
      </c>
      <c r="J9" s="9">
        <f t="shared" si="0"/>
        <v>0.125</v>
      </c>
      <c r="K9" s="8">
        <f t="shared" si="2"/>
        <v>0</v>
      </c>
      <c r="L9" s="1">
        <f t="shared" si="2"/>
        <v>0</v>
      </c>
      <c r="M9" s="31">
        <f t="shared" si="2"/>
        <v>0</v>
      </c>
      <c r="N9" s="34">
        <f t="shared" si="1"/>
        <v>0</v>
      </c>
      <c r="O9" s="76">
        <f t="shared" si="3"/>
        <v>2</v>
      </c>
      <c r="P9" s="8"/>
      <c r="Q9" s="8"/>
      <c r="R9" s="19"/>
      <c r="T9" s="38">
        <f t="shared" si="6"/>
        <v>3.5714285714285712E-2</v>
      </c>
      <c r="U9" s="38">
        <f t="shared" si="7"/>
        <v>3.5714285714285712E-2</v>
      </c>
      <c r="V9" s="52">
        <f t="shared" si="4"/>
        <v>0</v>
      </c>
    </row>
    <row r="10" spans="2:22" x14ac:dyDescent="0.55000000000000004">
      <c r="B10" s="8"/>
      <c r="C10" t="s">
        <v>31</v>
      </c>
      <c r="D10" s="23" t="s">
        <v>3</v>
      </c>
      <c r="E10" s="8">
        <v>80</v>
      </c>
      <c r="F10" s="1">
        <v>40</v>
      </c>
      <c r="G10" s="9">
        <f t="shared" si="5"/>
        <v>0.5</v>
      </c>
      <c r="H10" s="8">
        <v>80</v>
      </c>
      <c r="I10" s="1">
        <v>40</v>
      </c>
      <c r="J10" s="15">
        <f t="shared" si="0"/>
        <v>0.5</v>
      </c>
      <c r="K10" s="8">
        <f t="shared" si="2"/>
        <v>0</v>
      </c>
      <c r="L10" s="1">
        <f t="shared" si="2"/>
        <v>0</v>
      </c>
      <c r="M10" s="31">
        <f t="shared" si="2"/>
        <v>0</v>
      </c>
      <c r="N10" s="34">
        <f t="shared" si="1"/>
        <v>0</v>
      </c>
      <c r="O10" s="76">
        <f t="shared" si="3"/>
        <v>2</v>
      </c>
      <c r="P10" s="8"/>
      <c r="Q10" s="8"/>
      <c r="R10" s="19"/>
      <c r="T10" s="38">
        <f t="shared" si="6"/>
        <v>7.1428571428571425E-2</v>
      </c>
      <c r="U10" s="38">
        <f t="shared" si="7"/>
        <v>7.1428571428571425E-2</v>
      </c>
      <c r="V10" s="52">
        <f t="shared" si="4"/>
        <v>0</v>
      </c>
    </row>
    <row r="11" spans="2:22" x14ac:dyDescent="0.55000000000000004">
      <c r="B11" s="8"/>
      <c r="C11" t="s">
        <v>31</v>
      </c>
      <c r="D11" s="23" t="s">
        <v>4</v>
      </c>
      <c r="E11" s="8">
        <v>400</v>
      </c>
      <c r="F11" s="1">
        <v>20</v>
      </c>
      <c r="G11" s="9">
        <f t="shared" si="5"/>
        <v>0.05</v>
      </c>
      <c r="H11" s="8">
        <v>400</v>
      </c>
      <c r="I11" s="1">
        <v>20</v>
      </c>
      <c r="J11" s="15">
        <f t="shared" si="0"/>
        <v>0.05</v>
      </c>
      <c r="K11" s="8">
        <f t="shared" si="2"/>
        <v>0</v>
      </c>
      <c r="L11" s="1">
        <f t="shared" si="2"/>
        <v>0</v>
      </c>
      <c r="M11" s="31">
        <f t="shared" si="2"/>
        <v>0</v>
      </c>
      <c r="N11" s="34">
        <f t="shared" si="1"/>
        <v>0</v>
      </c>
      <c r="O11" s="76">
        <f t="shared" si="3"/>
        <v>2</v>
      </c>
      <c r="P11" s="8"/>
      <c r="Q11" s="8"/>
      <c r="R11" s="19"/>
      <c r="T11" s="38">
        <f t="shared" si="6"/>
        <v>0.35714285714285715</v>
      </c>
      <c r="U11" s="38">
        <f t="shared" si="7"/>
        <v>0.35714285714285715</v>
      </c>
      <c r="V11" s="52">
        <f t="shared" si="4"/>
        <v>0</v>
      </c>
    </row>
    <row r="12" spans="2:22" x14ac:dyDescent="0.55000000000000004">
      <c r="B12" s="8"/>
      <c r="C12" t="s">
        <v>31</v>
      </c>
      <c r="D12" s="23" t="s">
        <v>74</v>
      </c>
      <c r="E12" s="8"/>
      <c r="G12" s="10"/>
      <c r="H12" s="8"/>
      <c r="K12" s="8">
        <f t="shared" si="2"/>
        <v>0</v>
      </c>
      <c r="L12" s="1">
        <f t="shared" si="2"/>
        <v>0</v>
      </c>
      <c r="M12" s="32">
        <f t="shared" si="2"/>
        <v>0</v>
      </c>
      <c r="N12" s="34">
        <f>N6-SUM(N7:N11)</f>
        <v>0</v>
      </c>
      <c r="O12" s="76"/>
      <c r="P12" s="8"/>
      <c r="Q12" s="8"/>
      <c r="R12" s="19"/>
      <c r="T12" s="38">
        <f t="shared" si="6"/>
        <v>0</v>
      </c>
      <c r="U12" s="38">
        <f t="shared" si="7"/>
        <v>0</v>
      </c>
      <c r="V12" s="52">
        <f t="shared" si="4"/>
        <v>0</v>
      </c>
    </row>
    <row r="13" spans="2:22" x14ac:dyDescent="0.55000000000000004">
      <c r="B13" s="6">
        <v>4</v>
      </c>
      <c r="C13" s="21" t="s">
        <v>32</v>
      </c>
      <c r="D13" s="22" t="s">
        <v>32</v>
      </c>
      <c r="E13" s="6">
        <f>SUMIF($C14:$C$19,$C13,E14:E$19)</f>
        <v>3600</v>
      </c>
      <c r="F13" s="2">
        <f>SUMIF($C14:$C$19,$C13,F14:F$19)</f>
        <v>420</v>
      </c>
      <c r="G13" s="7">
        <f>F13/E13</f>
        <v>0.11666666666666667</v>
      </c>
      <c r="H13" s="6">
        <f>SUMIF($C14:$C$19,$C13,H14:H$19)</f>
        <v>3600</v>
      </c>
      <c r="I13" s="2">
        <f>SUMIF($C14:$C$19,$C13,I14:I$19)</f>
        <v>420</v>
      </c>
      <c r="J13" s="14">
        <f>I13/H13</f>
        <v>0.11666666666666667</v>
      </c>
      <c r="K13" s="6">
        <f t="shared" si="2"/>
        <v>0</v>
      </c>
      <c r="L13" s="2">
        <f t="shared" si="2"/>
        <v>0</v>
      </c>
      <c r="M13" s="29">
        <f t="shared" si="2"/>
        <v>0</v>
      </c>
      <c r="N13" s="33">
        <f>I13-H13*G13</f>
        <v>0</v>
      </c>
      <c r="O13" s="76"/>
      <c r="P13" s="37">
        <f>E13/$E$5</f>
        <v>0.703125</v>
      </c>
      <c r="Q13" s="37">
        <f>H13/$H$5</f>
        <v>0.703125</v>
      </c>
      <c r="R13" s="40">
        <f>Q13-P13</f>
        <v>0</v>
      </c>
      <c r="T13" s="37">
        <f>SUMIF($C14:$C$19,$C13,T14:T$19)</f>
        <v>1</v>
      </c>
      <c r="U13" s="37">
        <f>SUMIF($C14:$C$19,$C13,U14:U$19)</f>
        <v>1</v>
      </c>
      <c r="V13" s="40">
        <f t="shared" si="4"/>
        <v>0</v>
      </c>
    </row>
    <row r="14" spans="2:22" x14ac:dyDescent="0.55000000000000004">
      <c r="B14" s="8"/>
      <c r="C14" t="s">
        <v>32</v>
      </c>
      <c r="D14" s="23" t="s">
        <v>5</v>
      </c>
      <c r="E14" s="8">
        <v>3000</v>
      </c>
      <c r="F14" s="1">
        <v>300</v>
      </c>
      <c r="G14" s="9">
        <f t="shared" ref="G14:G15" si="8">F14/E14</f>
        <v>0.1</v>
      </c>
      <c r="H14" s="8">
        <v>3000</v>
      </c>
      <c r="I14" s="1">
        <v>300</v>
      </c>
      <c r="J14" s="15">
        <f t="shared" ref="J14:J15" si="9">I14/H14</f>
        <v>0.1</v>
      </c>
      <c r="K14" s="8">
        <f t="shared" si="2"/>
        <v>0</v>
      </c>
      <c r="L14" s="1">
        <f t="shared" si="2"/>
        <v>0</v>
      </c>
      <c r="M14" s="31">
        <f t="shared" si="2"/>
        <v>0</v>
      </c>
      <c r="N14" s="34">
        <f>I14-H14*G14</f>
        <v>0</v>
      </c>
      <c r="O14" s="76">
        <f t="shared" ref="O14:O15" si="10">IF(N14&gt;0,1,2)</f>
        <v>2</v>
      </c>
      <c r="P14" s="8"/>
      <c r="Q14" s="8"/>
      <c r="R14" s="19"/>
      <c r="T14" s="38">
        <f>E14/$E$13</f>
        <v>0.83333333333333337</v>
      </c>
      <c r="U14" s="38">
        <f>H14/$H$13</f>
        <v>0.83333333333333337</v>
      </c>
      <c r="V14" s="52">
        <f t="shared" si="4"/>
        <v>0</v>
      </c>
    </row>
    <row r="15" spans="2:22" x14ac:dyDescent="0.55000000000000004">
      <c r="B15" s="8"/>
      <c r="C15" t="s">
        <v>32</v>
      </c>
      <c r="D15" s="23" t="s">
        <v>6</v>
      </c>
      <c r="E15" s="8">
        <v>600</v>
      </c>
      <c r="F15" s="1">
        <v>120</v>
      </c>
      <c r="G15" s="9">
        <f t="shared" si="8"/>
        <v>0.2</v>
      </c>
      <c r="H15" s="8">
        <v>600</v>
      </c>
      <c r="I15" s="1">
        <v>120</v>
      </c>
      <c r="J15" s="15">
        <f t="shared" si="9"/>
        <v>0.2</v>
      </c>
      <c r="K15" s="8">
        <f t="shared" si="2"/>
        <v>0</v>
      </c>
      <c r="L15" s="1">
        <f t="shared" si="2"/>
        <v>0</v>
      </c>
      <c r="M15" s="31">
        <f t="shared" si="2"/>
        <v>0</v>
      </c>
      <c r="N15" s="34">
        <f>I15-H15*G15</f>
        <v>0</v>
      </c>
      <c r="O15" s="76">
        <f t="shared" si="10"/>
        <v>2</v>
      </c>
      <c r="P15" s="8"/>
      <c r="Q15" s="8"/>
      <c r="R15" s="19"/>
      <c r="T15" s="38">
        <f t="shared" ref="T15:T16" si="11">E15/$E$13</f>
        <v>0.16666666666666666</v>
      </c>
      <c r="U15" s="38">
        <f t="shared" ref="U15:U16" si="12">H15/$H$13</f>
        <v>0.16666666666666666</v>
      </c>
      <c r="V15" s="52">
        <f t="shared" si="4"/>
        <v>0</v>
      </c>
    </row>
    <row r="16" spans="2:22" x14ac:dyDescent="0.55000000000000004">
      <c r="B16" s="8"/>
      <c r="C16" t="s">
        <v>32</v>
      </c>
      <c r="D16" s="23" t="s">
        <v>74</v>
      </c>
      <c r="E16" s="8"/>
      <c r="G16" s="10"/>
      <c r="H16" s="8"/>
      <c r="K16" s="8">
        <f t="shared" si="2"/>
        <v>0</v>
      </c>
      <c r="L16" s="1">
        <f t="shared" si="2"/>
        <v>0</v>
      </c>
      <c r="M16" s="32">
        <f t="shared" si="2"/>
        <v>0</v>
      </c>
      <c r="N16" s="34">
        <f>N13-SUM(N14:N15)</f>
        <v>0</v>
      </c>
      <c r="O16" s="76"/>
      <c r="P16" s="8"/>
      <c r="Q16" s="8"/>
      <c r="R16" s="19"/>
      <c r="T16" s="38">
        <f t="shared" si="11"/>
        <v>0</v>
      </c>
      <c r="U16" s="38">
        <f t="shared" si="12"/>
        <v>0</v>
      </c>
      <c r="V16" s="52">
        <f t="shared" si="4"/>
        <v>0</v>
      </c>
    </row>
    <row r="17" spans="2:22" x14ac:dyDescent="0.55000000000000004">
      <c r="B17" s="6">
        <v>5</v>
      </c>
      <c r="C17" s="21" t="s">
        <v>33</v>
      </c>
      <c r="D17" s="22" t="s">
        <v>33</v>
      </c>
      <c r="E17" s="6">
        <f>SUMIF($C18:$C$19,$C17,E18:E$19)</f>
        <v>400</v>
      </c>
      <c r="F17" s="2">
        <f>SUMIF($C18:$C$19,$C17,F18:F$19)</f>
        <v>200</v>
      </c>
      <c r="G17" s="7">
        <f>F17/E17</f>
        <v>0.5</v>
      </c>
      <c r="H17" s="6">
        <f>SUMIF($C18:$C$19,$C17,H18:H$19)</f>
        <v>400</v>
      </c>
      <c r="I17" s="2">
        <f>SUMIF($C18:$C$19,$C17,I18:I$19)</f>
        <v>200</v>
      </c>
      <c r="J17" s="14">
        <f>I17/H17</f>
        <v>0.5</v>
      </c>
      <c r="K17" s="6">
        <f t="shared" si="2"/>
        <v>0</v>
      </c>
      <c r="L17" s="2">
        <f t="shared" si="2"/>
        <v>0</v>
      </c>
      <c r="M17" s="29">
        <f t="shared" si="2"/>
        <v>0</v>
      </c>
      <c r="N17" s="33">
        <f>I17-H17*G17</f>
        <v>0</v>
      </c>
      <c r="O17" s="76"/>
      <c r="P17" s="37">
        <f>E17/$E$5</f>
        <v>7.8125E-2</v>
      </c>
      <c r="Q17" s="37">
        <f>H17/$H$5</f>
        <v>7.8125E-2</v>
      </c>
      <c r="R17" s="40">
        <f>Q17-P17</f>
        <v>0</v>
      </c>
      <c r="T17" s="37">
        <f>SUMIF($C18:$C$19,$C17,T18:T$19)</f>
        <v>0</v>
      </c>
      <c r="U17" s="37">
        <f>SUMIF($C18:$C$19,$C17,U18:U$19)</f>
        <v>0</v>
      </c>
      <c r="V17" s="40">
        <f t="shared" si="4"/>
        <v>0</v>
      </c>
    </row>
    <row r="18" spans="2:22" x14ac:dyDescent="0.55000000000000004">
      <c r="B18" s="8"/>
      <c r="C18" t="s">
        <v>33</v>
      </c>
      <c r="D18" s="23" t="s">
        <v>7</v>
      </c>
      <c r="E18" s="8">
        <v>400</v>
      </c>
      <c r="F18" s="1">
        <v>200</v>
      </c>
      <c r="G18" s="9">
        <f t="shared" ref="G18" si="13">F18/E18</f>
        <v>0.5</v>
      </c>
      <c r="H18" s="8">
        <v>400</v>
      </c>
      <c r="I18" s="1">
        <v>200</v>
      </c>
      <c r="J18" s="15">
        <f t="shared" ref="J18" si="14">I18/H18</f>
        <v>0.5</v>
      </c>
      <c r="K18" s="8">
        <f t="shared" si="2"/>
        <v>0</v>
      </c>
      <c r="L18" s="1">
        <f t="shared" si="2"/>
        <v>0</v>
      </c>
      <c r="M18" s="31">
        <f t="shared" si="2"/>
        <v>0</v>
      </c>
      <c r="N18" s="34">
        <f>I18-H18*G18</f>
        <v>0</v>
      </c>
      <c r="O18" s="76">
        <f>IF(N18&gt;0,1,2)</f>
        <v>2</v>
      </c>
      <c r="P18" s="8"/>
      <c r="Q18" s="8"/>
      <c r="R18" s="19"/>
      <c r="T18" s="8">
        <f>P18-M18</f>
        <v>0</v>
      </c>
      <c r="U18" s="8">
        <f>Q18-N18</f>
        <v>0</v>
      </c>
      <c r="V18" s="52">
        <f t="shared" si="4"/>
        <v>0</v>
      </c>
    </row>
    <row r="19" spans="2:22" x14ac:dyDescent="0.55000000000000004">
      <c r="B19" s="8"/>
      <c r="C19" t="s">
        <v>33</v>
      </c>
      <c r="D19" s="23" t="s">
        <v>74</v>
      </c>
      <c r="E19" s="8"/>
      <c r="G19" s="10"/>
      <c r="H19" s="8"/>
      <c r="K19" s="8">
        <f t="shared" si="2"/>
        <v>0</v>
      </c>
      <c r="L19" s="1">
        <f t="shared" si="2"/>
        <v>0</v>
      </c>
      <c r="M19" s="32">
        <f t="shared" si="2"/>
        <v>0</v>
      </c>
      <c r="N19" s="34">
        <f>N17-N18</f>
        <v>0</v>
      </c>
      <c r="O19" s="76"/>
      <c r="P19" s="8"/>
      <c r="Q19" s="8"/>
      <c r="R19" s="19"/>
      <c r="T19" s="8">
        <f>P19-M19</f>
        <v>0</v>
      </c>
      <c r="U19" s="8">
        <f>Q19-N19</f>
        <v>0</v>
      </c>
      <c r="V19" s="52">
        <f t="shared" si="4"/>
        <v>0</v>
      </c>
    </row>
    <row r="20" spans="2:22" x14ac:dyDescent="0.55000000000000004">
      <c r="B20" s="6">
        <v>6</v>
      </c>
      <c r="C20" s="21" t="s">
        <v>10</v>
      </c>
      <c r="D20" s="22" t="s">
        <v>11</v>
      </c>
      <c r="E20" s="6"/>
      <c r="F20" s="2">
        <v>-100</v>
      </c>
      <c r="G20" s="7"/>
      <c r="H20" s="6"/>
      <c r="I20" s="2">
        <v>-100</v>
      </c>
      <c r="J20" s="14"/>
      <c r="K20" s="6"/>
      <c r="L20" s="2">
        <f t="shared" si="2"/>
        <v>0</v>
      </c>
      <c r="M20" s="29">
        <f t="shared" si="2"/>
        <v>0</v>
      </c>
      <c r="N20" s="33">
        <f>I20-F20</f>
        <v>0</v>
      </c>
      <c r="O20" s="76">
        <f>IF(N20&gt;0,1,2)</f>
        <v>2</v>
      </c>
      <c r="P20" s="6"/>
      <c r="Q20" s="6"/>
      <c r="R20" s="18"/>
      <c r="T20" s="6"/>
      <c r="U20" s="6"/>
      <c r="V20" s="18"/>
    </row>
    <row r="21" spans="2:22" ht="14.7" thickBot="1" x14ac:dyDescent="0.6">
      <c r="B21" s="11">
        <v>7</v>
      </c>
      <c r="C21" s="24" t="s">
        <v>12</v>
      </c>
      <c r="D21" s="25" t="s">
        <v>36</v>
      </c>
      <c r="E21" s="11"/>
      <c r="F21" s="12"/>
      <c r="G21" s="13"/>
      <c r="H21" s="11"/>
      <c r="I21" s="12"/>
      <c r="J21" s="16"/>
      <c r="K21" s="11"/>
      <c r="L21" s="12"/>
      <c r="M21" s="30">
        <f t="shared" si="2"/>
        <v>0</v>
      </c>
      <c r="N21" s="35">
        <f>N5-N6-N13-N17-N20</f>
        <v>0</v>
      </c>
      <c r="O21" s="76"/>
      <c r="P21" s="11"/>
      <c r="Q21" s="11"/>
      <c r="R21" s="20"/>
      <c r="T21" s="11"/>
      <c r="U21" s="11"/>
      <c r="V21" s="20"/>
    </row>
    <row r="23" spans="2:22" ht="18.3" x14ac:dyDescent="0.7">
      <c r="D23" s="79" t="s">
        <v>92</v>
      </c>
      <c r="E23" s="82">
        <f>N5</f>
        <v>0</v>
      </c>
    </row>
    <row r="24" spans="2:22" ht="18.3" x14ac:dyDescent="0.65">
      <c r="D24" s="77" t="s">
        <v>90</v>
      </c>
      <c r="E24" s="81">
        <f>SUMIF(O7:O20,1,N7:N20)</f>
        <v>0</v>
      </c>
    </row>
    <row r="25" spans="2:22" ht="18.3" x14ac:dyDescent="0.65">
      <c r="D25" s="77" t="s">
        <v>91</v>
      </c>
      <c r="E25" s="81">
        <f>SUMIF(O7:O20,2,N7:N20)</f>
        <v>0</v>
      </c>
    </row>
    <row r="26" spans="2:22" ht="18.3" x14ac:dyDescent="0.65">
      <c r="D26" s="77" t="s">
        <v>88</v>
      </c>
      <c r="E26" s="81">
        <f>N21</f>
        <v>0</v>
      </c>
    </row>
    <row r="27" spans="2:22" ht="18.3" x14ac:dyDescent="0.65">
      <c r="D27" s="77" t="s">
        <v>89</v>
      </c>
      <c r="E27" s="81">
        <f>N12+N16+N19</f>
        <v>0</v>
      </c>
    </row>
  </sheetData>
  <mergeCells count="4">
    <mergeCell ref="B3:B4"/>
    <mergeCell ref="C3:C4"/>
    <mergeCell ref="D3:D4"/>
    <mergeCell ref="N3:N4"/>
  </mergeCells>
  <pageMargins left="0.7" right="0.7" top="0.75" bottom="0.75" header="0.3" footer="0.3"/>
  <pageSetup paperSize="9"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Методология BB4mE</vt:lpstr>
      <vt:lpstr>Основной сценарий (2)</vt:lpstr>
      <vt:lpstr>Основной сценарий</vt:lpstr>
      <vt:lpstr>в01</vt:lpstr>
      <vt:lpstr>в02</vt:lpstr>
      <vt:lpstr>в03</vt:lpstr>
      <vt:lpstr>в04</vt:lpstr>
      <vt:lpstr>Равновесие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Буров</dc:creator>
  <cp:lastModifiedBy>Денис Буров</cp:lastModifiedBy>
  <cp:lastPrinted>2026-02-03T20:40:17Z</cp:lastPrinted>
  <dcterms:created xsi:type="dcterms:W3CDTF">2015-06-05T18:19:34Z</dcterms:created>
  <dcterms:modified xsi:type="dcterms:W3CDTF">2026-02-04T16:02:03Z</dcterms:modified>
</cp:coreProperties>
</file>